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PP_atskaite_2021\"/>
    </mc:Choice>
  </mc:AlternateContent>
  <bookViews>
    <workbookView xWindow="0" yWindow="0" windowWidth="25125" windowHeight="11445"/>
  </bookViews>
  <sheets>
    <sheet name="2021" sheetId="6" r:id="rId1"/>
    <sheet name="2020" sheetId="5" r:id="rId2"/>
    <sheet name="2019" sheetId="4" r:id="rId3"/>
    <sheet name="2018" sheetId="3" r:id="rId4"/>
    <sheet name="2017" sheetId="2" r:id="rId5"/>
    <sheet name="1999_2016" sheetId="1" r:id="rId6"/>
  </sheets>
  <calcPr calcId="152511"/>
</workbook>
</file>

<file path=xl/calcChain.xml><?xml version="1.0" encoding="utf-8"?>
<calcChain xmlns="http://schemas.openxmlformats.org/spreadsheetml/2006/main">
  <c r="F21" i="6" l="1"/>
  <c r="G21" i="6" s="1"/>
  <c r="D21" i="6"/>
  <c r="E21" i="6" s="1"/>
  <c r="B21" i="6"/>
  <c r="C21" i="6" s="1"/>
  <c r="H20" i="6"/>
  <c r="I20" i="6" s="1"/>
  <c r="G20" i="6"/>
  <c r="E20" i="6"/>
  <c r="C20" i="6"/>
  <c r="H19" i="6"/>
  <c r="I19" i="6" s="1"/>
  <c r="G19" i="6"/>
  <c r="E19" i="6"/>
  <c r="C19" i="6"/>
  <c r="H18" i="6"/>
  <c r="I18" i="6" s="1"/>
  <c r="G18" i="6"/>
  <c r="E18" i="6"/>
  <c r="C18" i="6"/>
  <c r="I17" i="6"/>
  <c r="H17" i="6"/>
  <c r="G17" i="6"/>
  <c r="E17" i="6"/>
  <c r="C17" i="6"/>
  <c r="H16" i="6"/>
  <c r="I16" i="6" s="1"/>
  <c r="G16" i="6"/>
  <c r="E16" i="6"/>
  <c r="C16" i="6"/>
  <c r="H15" i="6"/>
  <c r="I15" i="6" s="1"/>
  <c r="G15" i="6"/>
  <c r="E15" i="6"/>
  <c r="C15" i="6"/>
  <c r="H14" i="6"/>
  <c r="I14" i="6" s="1"/>
  <c r="G14" i="6"/>
  <c r="E14" i="6"/>
  <c r="C14" i="6"/>
  <c r="H13" i="6"/>
  <c r="I13" i="6" s="1"/>
  <c r="G13" i="6"/>
  <c r="E13" i="6"/>
  <c r="C13" i="6"/>
  <c r="H12" i="6"/>
  <c r="I12" i="6" s="1"/>
  <c r="G12" i="6"/>
  <c r="E12" i="6"/>
  <c r="C12" i="6"/>
  <c r="H11" i="6"/>
  <c r="I11" i="6" s="1"/>
  <c r="G11" i="6"/>
  <c r="E11" i="6"/>
  <c r="C11" i="6"/>
  <c r="H10" i="6"/>
  <c r="I10" i="6" s="1"/>
  <c r="G10" i="6"/>
  <c r="E10" i="6"/>
  <c r="C10" i="6"/>
  <c r="H9" i="6"/>
  <c r="I9" i="6" s="1"/>
  <c r="G9" i="6"/>
  <c r="E9" i="6"/>
  <c r="C9" i="6"/>
  <c r="H8" i="6"/>
  <c r="I8" i="6" s="1"/>
  <c r="G8" i="6"/>
  <c r="E8" i="6"/>
  <c r="C8" i="6"/>
  <c r="H7" i="6"/>
  <c r="I7" i="6" s="1"/>
  <c r="G7" i="6"/>
  <c r="E7" i="6"/>
  <c r="C7" i="6"/>
  <c r="H6" i="6"/>
  <c r="I6" i="6" s="1"/>
  <c r="G6" i="6"/>
  <c r="E6" i="6"/>
  <c r="C6" i="6"/>
  <c r="H5" i="6"/>
  <c r="H21" i="6" s="1"/>
  <c r="I21" i="6" s="1"/>
  <c r="G5" i="6"/>
  <c r="E5" i="6"/>
  <c r="C5" i="6"/>
  <c r="I5" i="6" l="1"/>
  <c r="F21" i="5"/>
  <c r="G21" i="5" s="1"/>
  <c r="D21" i="5"/>
  <c r="E21" i="5" s="1"/>
  <c r="B21" i="5"/>
  <c r="C21" i="5" s="1"/>
  <c r="H20" i="5"/>
  <c r="I20" i="5" s="1"/>
  <c r="G20" i="5"/>
  <c r="E20" i="5"/>
  <c r="C20" i="5"/>
  <c r="H19" i="5"/>
  <c r="I19" i="5" s="1"/>
  <c r="G19" i="5"/>
  <c r="E19" i="5"/>
  <c r="C19" i="5"/>
  <c r="H18" i="5"/>
  <c r="I18" i="5" s="1"/>
  <c r="G18" i="5"/>
  <c r="E18" i="5"/>
  <c r="C18" i="5"/>
  <c r="I17" i="5"/>
  <c r="H17" i="5"/>
  <c r="G17" i="5"/>
  <c r="E17" i="5"/>
  <c r="C17" i="5"/>
  <c r="H16" i="5"/>
  <c r="I16" i="5" s="1"/>
  <c r="G16" i="5"/>
  <c r="E16" i="5"/>
  <c r="C16" i="5"/>
  <c r="H15" i="5"/>
  <c r="I15" i="5" s="1"/>
  <c r="G15" i="5"/>
  <c r="E15" i="5"/>
  <c r="C15" i="5"/>
  <c r="H14" i="5"/>
  <c r="I14" i="5" s="1"/>
  <c r="G14" i="5"/>
  <c r="E14" i="5"/>
  <c r="C14" i="5"/>
  <c r="I13" i="5"/>
  <c r="H13" i="5"/>
  <c r="G13" i="5"/>
  <c r="E13" i="5"/>
  <c r="C13" i="5"/>
  <c r="H12" i="5"/>
  <c r="I12" i="5" s="1"/>
  <c r="G12" i="5"/>
  <c r="E12" i="5"/>
  <c r="C12" i="5"/>
  <c r="H11" i="5"/>
  <c r="I11" i="5" s="1"/>
  <c r="G11" i="5"/>
  <c r="E11" i="5"/>
  <c r="C11" i="5"/>
  <c r="H10" i="5"/>
  <c r="I10" i="5" s="1"/>
  <c r="G10" i="5"/>
  <c r="E10" i="5"/>
  <c r="C10" i="5"/>
  <c r="I9" i="5"/>
  <c r="H9" i="5"/>
  <c r="G9" i="5"/>
  <c r="E9" i="5"/>
  <c r="C9" i="5"/>
  <c r="H8" i="5"/>
  <c r="I8" i="5" s="1"/>
  <c r="G8" i="5"/>
  <c r="E8" i="5"/>
  <c r="C8" i="5"/>
  <c r="H7" i="5"/>
  <c r="I7" i="5" s="1"/>
  <c r="G7" i="5"/>
  <c r="E7" i="5"/>
  <c r="C7" i="5"/>
  <c r="H6" i="5"/>
  <c r="I6" i="5" s="1"/>
  <c r="G6" i="5"/>
  <c r="E6" i="5"/>
  <c r="C6" i="5"/>
  <c r="H5" i="5"/>
  <c r="H21" i="5" s="1"/>
  <c r="I21" i="5" s="1"/>
  <c r="G5" i="5"/>
  <c r="E5" i="5"/>
  <c r="C5" i="5"/>
  <c r="I5" i="5" l="1"/>
  <c r="F44" i="5"/>
  <c r="G44" i="5" s="1"/>
  <c r="D44" i="5"/>
  <c r="E44" i="5" s="1"/>
  <c r="B44" i="5"/>
  <c r="C44" i="5" s="1"/>
  <c r="H43" i="5"/>
  <c r="I43" i="5" s="1"/>
  <c r="G43" i="5"/>
  <c r="E43" i="5"/>
  <c r="C43" i="5"/>
  <c r="H42" i="5"/>
  <c r="I42" i="5" s="1"/>
  <c r="G42" i="5"/>
  <c r="E42" i="5"/>
  <c r="C42" i="5"/>
  <c r="H41" i="5"/>
  <c r="I41" i="5" s="1"/>
  <c r="G41" i="5"/>
  <c r="E41" i="5"/>
  <c r="C41" i="5"/>
  <c r="I40" i="5"/>
  <c r="H40" i="5"/>
  <c r="G40" i="5"/>
  <c r="E40" i="5"/>
  <c r="C40" i="5"/>
  <c r="H39" i="5"/>
  <c r="I39" i="5" s="1"/>
  <c r="G39" i="5"/>
  <c r="E39" i="5"/>
  <c r="C39" i="5"/>
  <c r="H38" i="5"/>
  <c r="I38" i="5" s="1"/>
  <c r="G38" i="5"/>
  <c r="E38" i="5"/>
  <c r="C38" i="5"/>
  <c r="H37" i="5"/>
  <c r="I37" i="5" s="1"/>
  <c r="G37" i="5"/>
  <c r="E37" i="5"/>
  <c r="C37" i="5"/>
  <c r="I36" i="5"/>
  <c r="H36" i="5"/>
  <c r="G36" i="5"/>
  <c r="E36" i="5"/>
  <c r="C36" i="5"/>
  <c r="H35" i="5"/>
  <c r="I35" i="5" s="1"/>
  <c r="G35" i="5"/>
  <c r="E35" i="5"/>
  <c r="C35" i="5"/>
  <c r="H34" i="5"/>
  <c r="I34" i="5" s="1"/>
  <c r="G34" i="5"/>
  <c r="E34" i="5"/>
  <c r="C34" i="5"/>
  <c r="H33" i="5"/>
  <c r="I33" i="5" s="1"/>
  <c r="G33" i="5"/>
  <c r="E33" i="5"/>
  <c r="C33" i="5"/>
  <c r="I32" i="5"/>
  <c r="H32" i="5"/>
  <c r="G32" i="5"/>
  <c r="E32" i="5"/>
  <c r="C32" i="5"/>
  <c r="H31" i="5"/>
  <c r="I31" i="5" s="1"/>
  <c r="G31" i="5"/>
  <c r="E31" i="5"/>
  <c r="C31" i="5"/>
  <c r="H30" i="5"/>
  <c r="I30" i="5" s="1"/>
  <c r="G30" i="5"/>
  <c r="E30" i="5"/>
  <c r="C30" i="5"/>
  <c r="H29" i="5"/>
  <c r="I29" i="5" s="1"/>
  <c r="G29" i="5"/>
  <c r="E29" i="5"/>
  <c r="C29" i="5"/>
  <c r="I28" i="5"/>
  <c r="H28" i="5"/>
  <c r="G28" i="5"/>
  <c r="E28" i="5"/>
  <c r="C28" i="5"/>
  <c r="H44" i="5" l="1"/>
  <c r="I44" i="5" s="1"/>
  <c r="F67" i="5"/>
  <c r="G67" i="5" s="1"/>
  <c r="D67" i="5"/>
  <c r="E67" i="5" s="1"/>
  <c r="B67" i="5"/>
  <c r="C67" i="5" s="1"/>
  <c r="H66" i="5"/>
  <c r="I66" i="5" s="1"/>
  <c r="G66" i="5"/>
  <c r="E66" i="5"/>
  <c r="C66" i="5"/>
  <c r="I65" i="5"/>
  <c r="H65" i="5"/>
  <c r="G65" i="5"/>
  <c r="E65" i="5"/>
  <c r="C65" i="5"/>
  <c r="H64" i="5"/>
  <c r="I64" i="5" s="1"/>
  <c r="G64" i="5"/>
  <c r="E64" i="5"/>
  <c r="C64" i="5"/>
  <c r="I63" i="5"/>
  <c r="H63" i="5"/>
  <c r="G63" i="5"/>
  <c r="E63" i="5"/>
  <c r="C63" i="5"/>
  <c r="H62" i="5"/>
  <c r="I62" i="5" s="1"/>
  <c r="G62" i="5"/>
  <c r="E62" i="5"/>
  <c r="C62" i="5"/>
  <c r="H61" i="5"/>
  <c r="I61" i="5" s="1"/>
  <c r="G61" i="5"/>
  <c r="E61" i="5"/>
  <c r="C61" i="5"/>
  <c r="H60" i="5"/>
  <c r="I60" i="5" s="1"/>
  <c r="G60" i="5"/>
  <c r="E60" i="5"/>
  <c r="C60" i="5"/>
  <c r="H59" i="5"/>
  <c r="I59" i="5" s="1"/>
  <c r="G59" i="5"/>
  <c r="E59" i="5"/>
  <c r="C59" i="5"/>
  <c r="H58" i="5"/>
  <c r="I58" i="5" s="1"/>
  <c r="G58" i="5"/>
  <c r="E58" i="5"/>
  <c r="C58" i="5"/>
  <c r="I57" i="5"/>
  <c r="H57" i="5"/>
  <c r="G57" i="5"/>
  <c r="E57" i="5"/>
  <c r="C57" i="5"/>
  <c r="H56" i="5"/>
  <c r="I56" i="5" s="1"/>
  <c r="G56" i="5"/>
  <c r="E56" i="5"/>
  <c r="C56" i="5"/>
  <c r="H55" i="5"/>
  <c r="I55" i="5" s="1"/>
  <c r="G55" i="5"/>
  <c r="E55" i="5"/>
  <c r="C55" i="5"/>
  <c r="H54" i="5"/>
  <c r="I54" i="5" s="1"/>
  <c r="G54" i="5"/>
  <c r="E54" i="5"/>
  <c r="C54" i="5"/>
  <c r="I53" i="5"/>
  <c r="H53" i="5"/>
  <c r="G53" i="5"/>
  <c r="E53" i="5"/>
  <c r="C53" i="5"/>
  <c r="H52" i="5"/>
  <c r="I52" i="5" s="1"/>
  <c r="G52" i="5"/>
  <c r="E52" i="5"/>
  <c r="C52" i="5"/>
  <c r="H51" i="5"/>
  <c r="G51" i="5"/>
  <c r="E51" i="5"/>
  <c r="C51" i="5"/>
  <c r="H67" i="5" l="1"/>
  <c r="I67" i="5" s="1"/>
  <c r="I51" i="5"/>
  <c r="F90" i="5"/>
  <c r="G90" i="5" s="1"/>
  <c r="D90" i="5"/>
  <c r="E90" i="5" s="1"/>
  <c r="B90" i="5"/>
  <c r="C90" i="5" s="1"/>
  <c r="H89" i="5"/>
  <c r="I89" i="5" s="1"/>
  <c r="G89" i="5"/>
  <c r="E89" i="5"/>
  <c r="C89" i="5"/>
  <c r="H88" i="5"/>
  <c r="I88" i="5" s="1"/>
  <c r="G88" i="5"/>
  <c r="E88" i="5"/>
  <c r="C88" i="5"/>
  <c r="H87" i="5"/>
  <c r="I87" i="5" s="1"/>
  <c r="G87" i="5"/>
  <c r="E87" i="5"/>
  <c r="C87" i="5"/>
  <c r="I86" i="5"/>
  <c r="H86" i="5"/>
  <c r="G86" i="5"/>
  <c r="E86" i="5"/>
  <c r="C86" i="5"/>
  <c r="H85" i="5"/>
  <c r="I85" i="5" s="1"/>
  <c r="G85" i="5"/>
  <c r="E85" i="5"/>
  <c r="C85" i="5"/>
  <c r="H84" i="5"/>
  <c r="I84" i="5" s="1"/>
  <c r="G84" i="5"/>
  <c r="E84" i="5"/>
  <c r="C84" i="5"/>
  <c r="H83" i="5"/>
  <c r="I83" i="5" s="1"/>
  <c r="G83" i="5"/>
  <c r="E83" i="5"/>
  <c r="C83" i="5"/>
  <c r="H82" i="5"/>
  <c r="I82" i="5" s="1"/>
  <c r="G82" i="5"/>
  <c r="E82" i="5"/>
  <c r="C82" i="5"/>
  <c r="H81" i="5"/>
  <c r="I81" i="5" s="1"/>
  <c r="G81" i="5"/>
  <c r="E81" i="5"/>
  <c r="C81" i="5"/>
  <c r="H80" i="5"/>
  <c r="I80" i="5" s="1"/>
  <c r="G80" i="5"/>
  <c r="E80" i="5"/>
  <c r="C80" i="5"/>
  <c r="H79" i="5"/>
  <c r="I79" i="5" s="1"/>
  <c r="G79" i="5"/>
  <c r="E79" i="5"/>
  <c r="C79" i="5"/>
  <c r="H78" i="5"/>
  <c r="I78" i="5" s="1"/>
  <c r="G78" i="5"/>
  <c r="E78" i="5"/>
  <c r="C78" i="5"/>
  <c r="H77" i="5"/>
  <c r="I77" i="5" s="1"/>
  <c r="G77" i="5"/>
  <c r="E77" i="5"/>
  <c r="C77" i="5"/>
  <c r="H76" i="5"/>
  <c r="I76" i="5" s="1"/>
  <c r="G76" i="5"/>
  <c r="E76" i="5"/>
  <c r="C76" i="5"/>
  <c r="H75" i="5"/>
  <c r="I75" i="5" s="1"/>
  <c r="G75" i="5"/>
  <c r="E75" i="5"/>
  <c r="C75" i="5"/>
  <c r="H74" i="5"/>
  <c r="I74" i="5" s="1"/>
  <c r="G74" i="5"/>
  <c r="E74" i="5"/>
  <c r="C74" i="5"/>
  <c r="H90" i="5" l="1"/>
  <c r="I90" i="5" s="1"/>
  <c r="F21" i="4"/>
  <c r="G21" i="4" s="1"/>
  <c r="D21" i="4"/>
  <c r="E21" i="4" s="1"/>
  <c r="B21" i="4"/>
  <c r="C21" i="4" s="1"/>
  <c r="H20" i="4"/>
  <c r="I20" i="4" s="1"/>
  <c r="G20" i="4"/>
  <c r="E20" i="4"/>
  <c r="C20" i="4"/>
  <c r="H19" i="4"/>
  <c r="I19" i="4" s="1"/>
  <c r="G19" i="4"/>
  <c r="E19" i="4"/>
  <c r="C19" i="4"/>
  <c r="H18" i="4"/>
  <c r="I18" i="4" s="1"/>
  <c r="G18" i="4"/>
  <c r="E18" i="4"/>
  <c r="C18" i="4"/>
  <c r="I17" i="4"/>
  <c r="H17" i="4"/>
  <c r="G17" i="4"/>
  <c r="E17" i="4"/>
  <c r="C17" i="4"/>
  <c r="H16" i="4"/>
  <c r="I16" i="4" s="1"/>
  <c r="G16" i="4"/>
  <c r="E16" i="4"/>
  <c r="C16" i="4"/>
  <c r="H15" i="4"/>
  <c r="I15" i="4" s="1"/>
  <c r="G15" i="4"/>
  <c r="E15" i="4"/>
  <c r="C15" i="4"/>
  <c r="H14" i="4"/>
  <c r="I14" i="4" s="1"/>
  <c r="G14" i="4"/>
  <c r="E14" i="4"/>
  <c r="C14" i="4"/>
  <c r="I13" i="4"/>
  <c r="H13" i="4"/>
  <c r="G13" i="4"/>
  <c r="E13" i="4"/>
  <c r="C13" i="4"/>
  <c r="H12" i="4"/>
  <c r="I12" i="4" s="1"/>
  <c r="G12" i="4"/>
  <c r="E12" i="4"/>
  <c r="C12" i="4"/>
  <c r="H11" i="4"/>
  <c r="I11" i="4" s="1"/>
  <c r="G11" i="4"/>
  <c r="E11" i="4"/>
  <c r="C11" i="4"/>
  <c r="H10" i="4"/>
  <c r="I10" i="4" s="1"/>
  <c r="G10" i="4"/>
  <c r="E10" i="4"/>
  <c r="C10" i="4"/>
  <c r="I9" i="4"/>
  <c r="H9" i="4"/>
  <c r="G9" i="4"/>
  <c r="E9" i="4"/>
  <c r="C9" i="4"/>
  <c r="H8" i="4"/>
  <c r="I8" i="4" s="1"/>
  <c r="G8" i="4"/>
  <c r="E8" i="4"/>
  <c r="C8" i="4"/>
  <c r="H7" i="4"/>
  <c r="I7" i="4" s="1"/>
  <c r="G7" i="4"/>
  <c r="E7" i="4"/>
  <c r="C7" i="4"/>
  <c r="H6" i="4"/>
  <c r="I6" i="4" s="1"/>
  <c r="G6" i="4"/>
  <c r="E6" i="4"/>
  <c r="C6" i="4"/>
  <c r="I5" i="4"/>
  <c r="H5" i="4"/>
  <c r="H21" i="4" s="1"/>
  <c r="I21" i="4" s="1"/>
  <c r="G5" i="4"/>
  <c r="E5" i="4"/>
  <c r="C5" i="4"/>
  <c r="F44" i="4" l="1"/>
  <c r="G44" i="4" s="1"/>
  <c r="D44" i="4"/>
  <c r="E44" i="4" s="1"/>
  <c r="B44" i="4"/>
  <c r="C44" i="4" s="1"/>
  <c r="H43" i="4"/>
  <c r="I43" i="4" s="1"/>
  <c r="G43" i="4"/>
  <c r="E43" i="4"/>
  <c r="C43" i="4"/>
  <c r="I42" i="4"/>
  <c r="H42" i="4"/>
  <c r="G42" i="4"/>
  <c r="E42" i="4"/>
  <c r="C42" i="4"/>
  <c r="H41" i="4"/>
  <c r="I41" i="4" s="1"/>
  <c r="G41" i="4"/>
  <c r="E41" i="4"/>
  <c r="C41" i="4"/>
  <c r="I40" i="4"/>
  <c r="H40" i="4"/>
  <c r="G40" i="4"/>
  <c r="E40" i="4"/>
  <c r="C40" i="4"/>
  <c r="H39" i="4"/>
  <c r="I39" i="4" s="1"/>
  <c r="G39" i="4"/>
  <c r="E39" i="4"/>
  <c r="C39" i="4"/>
  <c r="H38" i="4"/>
  <c r="I38" i="4" s="1"/>
  <c r="G38" i="4"/>
  <c r="E38" i="4"/>
  <c r="C38" i="4"/>
  <c r="H37" i="4"/>
  <c r="I37" i="4" s="1"/>
  <c r="G37" i="4"/>
  <c r="E37" i="4"/>
  <c r="C37" i="4"/>
  <c r="I36" i="4"/>
  <c r="H36" i="4"/>
  <c r="G36" i="4"/>
  <c r="E36" i="4"/>
  <c r="C36" i="4"/>
  <c r="H35" i="4"/>
  <c r="I35" i="4" s="1"/>
  <c r="G35" i="4"/>
  <c r="E35" i="4"/>
  <c r="C35" i="4"/>
  <c r="H34" i="4"/>
  <c r="I34" i="4" s="1"/>
  <c r="G34" i="4"/>
  <c r="E34" i="4"/>
  <c r="C34" i="4"/>
  <c r="H33" i="4"/>
  <c r="I33" i="4" s="1"/>
  <c r="G33" i="4"/>
  <c r="E33" i="4"/>
  <c r="C33" i="4"/>
  <c r="H32" i="4"/>
  <c r="I32" i="4" s="1"/>
  <c r="G32" i="4"/>
  <c r="E32" i="4"/>
  <c r="C32" i="4"/>
  <c r="I31" i="4"/>
  <c r="H31" i="4"/>
  <c r="G31" i="4"/>
  <c r="E31" i="4"/>
  <c r="C31" i="4"/>
  <c r="I30" i="4"/>
  <c r="H30" i="4"/>
  <c r="G30" i="4"/>
  <c r="E30" i="4"/>
  <c r="C30" i="4"/>
  <c r="H29" i="4"/>
  <c r="I29" i="4" s="1"/>
  <c r="G29" i="4"/>
  <c r="E29" i="4"/>
  <c r="C29" i="4"/>
  <c r="H28" i="4"/>
  <c r="G28" i="4"/>
  <c r="E28" i="4"/>
  <c r="C28" i="4"/>
  <c r="H44" i="4" l="1"/>
  <c r="I44" i="4" s="1"/>
  <c r="I28" i="4"/>
  <c r="D67" i="4"/>
  <c r="E67" i="4" s="1"/>
  <c r="F67" i="4"/>
  <c r="G67" i="4" s="1"/>
  <c r="B67" i="4"/>
  <c r="C67" i="4" s="1"/>
  <c r="H66" i="4"/>
  <c r="I66" i="4" s="1"/>
  <c r="G66" i="4"/>
  <c r="E66" i="4"/>
  <c r="C66" i="4"/>
  <c r="H65" i="4"/>
  <c r="I65" i="4" s="1"/>
  <c r="G65" i="4"/>
  <c r="E65" i="4"/>
  <c r="C65" i="4"/>
  <c r="H64" i="4"/>
  <c r="I64" i="4" s="1"/>
  <c r="G64" i="4"/>
  <c r="E64" i="4"/>
  <c r="C64" i="4"/>
  <c r="I63" i="4"/>
  <c r="H63" i="4"/>
  <c r="G63" i="4"/>
  <c r="E63" i="4"/>
  <c r="C63" i="4"/>
  <c r="H62" i="4"/>
  <c r="I62" i="4" s="1"/>
  <c r="G62" i="4"/>
  <c r="E62" i="4"/>
  <c r="C62" i="4"/>
  <c r="H61" i="4"/>
  <c r="I61" i="4" s="1"/>
  <c r="G61" i="4"/>
  <c r="E61" i="4"/>
  <c r="C61" i="4"/>
  <c r="H60" i="4"/>
  <c r="I60" i="4" s="1"/>
  <c r="G60" i="4"/>
  <c r="E60" i="4"/>
  <c r="C60" i="4"/>
  <c r="I59" i="4"/>
  <c r="H59" i="4"/>
  <c r="G59" i="4"/>
  <c r="E59" i="4"/>
  <c r="C59" i="4"/>
  <c r="H58" i="4"/>
  <c r="I58" i="4" s="1"/>
  <c r="G58" i="4"/>
  <c r="E58" i="4"/>
  <c r="C58" i="4"/>
  <c r="H57" i="4"/>
  <c r="I57" i="4" s="1"/>
  <c r="G57" i="4"/>
  <c r="E57" i="4"/>
  <c r="C57" i="4"/>
  <c r="H56" i="4"/>
  <c r="I56" i="4" s="1"/>
  <c r="G56" i="4"/>
  <c r="E56" i="4"/>
  <c r="C56" i="4"/>
  <c r="I55" i="4"/>
  <c r="H55" i="4"/>
  <c r="G55" i="4"/>
  <c r="E55" i="4"/>
  <c r="C55" i="4"/>
  <c r="H54" i="4"/>
  <c r="I54" i="4" s="1"/>
  <c r="G54" i="4"/>
  <c r="E54" i="4"/>
  <c r="C54" i="4"/>
  <c r="H53" i="4"/>
  <c r="I53" i="4" s="1"/>
  <c r="G53" i="4"/>
  <c r="E53" i="4"/>
  <c r="C53" i="4"/>
  <c r="H52" i="4"/>
  <c r="I52" i="4" s="1"/>
  <c r="G52" i="4"/>
  <c r="E52" i="4"/>
  <c r="C52" i="4"/>
  <c r="I51" i="4"/>
  <c r="H51" i="4"/>
  <c r="G51" i="4"/>
  <c r="E51" i="4"/>
  <c r="C51" i="4"/>
  <c r="H67" i="4" l="1"/>
  <c r="I67" i="4" s="1"/>
  <c r="D90" i="4"/>
  <c r="E90" i="4" s="1"/>
  <c r="F90" i="4"/>
  <c r="G90" i="4" s="1"/>
  <c r="B90" i="4"/>
  <c r="C90" i="4" s="1"/>
  <c r="H89" i="4"/>
  <c r="I89" i="4" s="1"/>
  <c r="G89" i="4"/>
  <c r="E89" i="4"/>
  <c r="C89" i="4"/>
  <c r="H88" i="4"/>
  <c r="I88" i="4" s="1"/>
  <c r="G88" i="4"/>
  <c r="E88" i="4"/>
  <c r="C88" i="4"/>
  <c r="H87" i="4"/>
  <c r="I87" i="4" s="1"/>
  <c r="G87" i="4"/>
  <c r="E87" i="4"/>
  <c r="C87" i="4"/>
  <c r="H86" i="4"/>
  <c r="I86" i="4" s="1"/>
  <c r="G86" i="4"/>
  <c r="E86" i="4"/>
  <c r="C86" i="4"/>
  <c r="H85" i="4"/>
  <c r="I85" i="4" s="1"/>
  <c r="G85" i="4"/>
  <c r="E85" i="4"/>
  <c r="C85" i="4"/>
  <c r="H84" i="4"/>
  <c r="I84" i="4" s="1"/>
  <c r="G84" i="4"/>
  <c r="E84" i="4"/>
  <c r="C84" i="4"/>
  <c r="H83" i="4"/>
  <c r="I83" i="4" s="1"/>
  <c r="G83" i="4"/>
  <c r="E83" i="4"/>
  <c r="C83" i="4"/>
  <c r="H82" i="4"/>
  <c r="I82" i="4" s="1"/>
  <c r="G82" i="4"/>
  <c r="E82" i="4"/>
  <c r="C82" i="4"/>
  <c r="H81" i="4"/>
  <c r="I81" i="4" s="1"/>
  <c r="G81" i="4"/>
  <c r="E81" i="4"/>
  <c r="C81" i="4"/>
  <c r="H80" i="4"/>
  <c r="I80" i="4" s="1"/>
  <c r="G80" i="4"/>
  <c r="E80" i="4"/>
  <c r="C80" i="4"/>
  <c r="H79" i="4"/>
  <c r="I79" i="4" s="1"/>
  <c r="G79" i="4"/>
  <c r="E79" i="4"/>
  <c r="C79" i="4"/>
  <c r="H78" i="4"/>
  <c r="I78" i="4" s="1"/>
  <c r="G78" i="4"/>
  <c r="E78" i="4"/>
  <c r="C78" i="4"/>
  <c r="H77" i="4"/>
  <c r="I77" i="4" s="1"/>
  <c r="G77" i="4"/>
  <c r="E77" i="4"/>
  <c r="C77" i="4"/>
  <c r="H76" i="4"/>
  <c r="I76" i="4" s="1"/>
  <c r="G76" i="4"/>
  <c r="E76" i="4"/>
  <c r="C76" i="4"/>
  <c r="H75" i="4"/>
  <c r="I75" i="4" s="1"/>
  <c r="G75" i="4"/>
  <c r="E75" i="4"/>
  <c r="C75" i="4"/>
  <c r="H74" i="4"/>
  <c r="I74" i="4" s="1"/>
  <c r="G74" i="4"/>
  <c r="E74" i="4"/>
  <c r="C74" i="4"/>
  <c r="H90" i="4" l="1"/>
  <c r="I90" i="4" s="1"/>
  <c r="G21" i="3"/>
  <c r="E21" i="3"/>
  <c r="I21" i="3"/>
  <c r="H21" i="3"/>
  <c r="F21" i="3"/>
  <c r="D21" i="3"/>
  <c r="B21" i="3"/>
  <c r="C21" i="3" s="1"/>
  <c r="H20" i="3"/>
  <c r="I20" i="3" s="1"/>
  <c r="G20" i="3"/>
  <c r="E20" i="3"/>
  <c r="C20" i="3"/>
  <c r="I19" i="3"/>
  <c r="H19" i="3"/>
  <c r="G19" i="3"/>
  <c r="E19" i="3"/>
  <c r="C19" i="3"/>
  <c r="H18" i="3"/>
  <c r="I18" i="3" s="1"/>
  <c r="G18" i="3"/>
  <c r="E18" i="3"/>
  <c r="C18" i="3"/>
  <c r="H17" i="3"/>
  <c r="I17" i="3" s="1"/>
  <c r="G17" i="3"/>
  <c r="E17" i="3"/>
  <c r="C17" i="3"/>
  <c r="H16" i="3"/>
  <c r="I16" i="3" s="1"/>
  <c r="G16" i="3"/>
  <c r="E16" i="3"/>
  <c r="C16" i="3"/>
  <c r="I15" i="3"/>
  <c r="H15" i="3"/>
  <c r="G15" i="3"/>
  <c r="E15" i="3"/>
  <c r="C15" i="3"/>
  <c r="I14" i="3"/>
  <c r="H14" i="3"/>
  <c r="G14" i="3"/>
  <c r="E14" i="3"/>
  <c r="C14" i="3"/>
  <c r="H13" i="3"/>
  <c r="I13" i="3" s="1"/>
  <c r="G13" i="3"/>
  <c r="E13" i="3"/>
  <c r="C13" i="3"/>
  <c r="H12" i="3"/>
  <c r="I12" i="3" s="1"/>
  <c r="G12" i="3"/>
  <c r="E12" i="3"/>
  <c r="C12" i="3"/>
  <c r="I11" i="3"/>
  <c r="H11" i="3"/>
  <c r="G11" i="3"/>
  <c r="E11" i="3"/>
  <c r="C11" i="3"/>
  <c r="I10" i="3"/>
  <c r="H10" i="3"/>
  <c r="G10" i="3"/>
  <c r="E10" i="3"/>
  <c r="C10" i="3"/>
  <c r="H9" i="3"/>
  <c r="I9" i="3" s="1"/>
  <c r="G9" i="3"/>
  <c r="E9" i="3"/>
  <c r="C9" i="3"/>
  <c r="H8" i="3"/>
  <c r="I8" i="3" s="1"/>
  <c r="G8" i="3"/>
  <c r="E8" i="3"/>
  <c r="C8" i="3"/>
  <c r="I7" i="3"/>
  <c r="H7" i="3"/>
  <c r="G7" i="3"/>
  <c r="E7" i="3"/>
  <c r="C7" i="3"/>
  <c r="I6" i="3"/>
  <c r="H6" i="3"/>
  <c r="G6" i="3"/>
  <c r="E6" i="3"/>
  <c r="C6" i="3"/>
  <c r="H5" i="3"/>
  <c r="I5" i="3" s="1"/>
  <c r="G5" i="3"/>
  <c r="E5" i="3"/>
  <c r="C5" i="3"/>
  <c r="I44" i="3" l="1"/>
  <c r="G44" i="3"/>
  <c r="E44" i="3"/>
  <c r="C44" i="3"/>
  <c r="H44" i="3"/>
  <c r="F44" i="3"/>
  <c r="D44" i="3"/>
  <c r="B44" i="3"/>
  <c r="H43" i="3"/>
  <c r="I43" i="3" s="1"/>
  <c r="G43" i="3"/>
  <c r="E43" i="3"/>
  <c r="C43" i="3"/>
  <c r="H42" i="3"/>
  <c r="I42" i="3" s="1"/>
  <c r="G42" i="3"/>
  <c r="E42" i="3"/>
  <c r="C42" i="3"/>
  <c r="I41" i="3"/>
  <c r="H41" i="3"/>
  <c r="G41" i="3"/>
  <c r="E41" i="3"/>
  <c r="C41" i="3"/>
  <c r="H40" i="3"/>
  <c r="I40" i="3" s="1"/>
  <c r="G40" i="3"/>
  <c r="E40" i="3"/>
  <c r="C40" i="3"/>
  <c r="H39" i="3"/>
  <c r="I39" i="3" s="1"/>
  <c r="G39" i="3"/>
  <c r="E39" i="3"/>
  <c r="C39" i="3"/>
  <c r="H38" i="3"/>
  <c r="I38" i="3" s="1"/>
  <c r="G38" i="3"/>
  <c r="E38" i="3"/>
  <c r="C38" i="3"/>
  <c r="I37" i="3"/>
  <c r="H37" i="3"/>
  <c r="G37" i="3"/>
  <c r="E37" i="3"/>
  <c r="C37" i="3"/>
  <c r="H36" i="3"/>
  <c r="I36" i="3" s="1"/>
  <c r="G36" i="3"/>
  <c r="E36" i="3"/>
  <c r="C36" i="3"/>
  <c r="H35" i="3"/>
  <c r="I35" i="3" s="1"/>
  <c r="G35" i="3"/>
  <c r="E35" i="3"/>
  <c r="C35" i="3"/>
  <c r="H34" i="3"/>
  <c r="I34" i="3" s="1"/>
  <c r="G34" i="3"/>
  <c r="E34" i="3"/>
  <c r="C34" i="3"/>
  <c r="I33" i="3"/>
  <c r="H33" i="3"/>
  <c r="G33" i="3"/>
  <c r="E33" i="3"/>
  <c r="C33" i="3"/>
  <c r="H32" i="3"/>
  <c r="I32" i="3" s="1"/>
  <c r="G32" i="3"/>
  <c r="E32" i="3"/>
  <c r="C32" i="3"/>
  <c r="H31" i="3"/>
  <c r="I31" i="3" s="1"/>
  <c r="G31" i="3"/>
  <c r="E31" i="3"/>
  <c r="C31" i="3"/>
  <c r="H30" i="3"/>
  <c r="I30" i="3" s="1"/>
  <c r="G30" i="3"/>
  <c r="E30" i="3"/>
  <c r="C30" i="3"/>
  <c r="I29" i="3"/>
  <c r="H29" i="3"/>
  <c r="G29" i="3"/>
  <c r="E29" i="3"/>
  <c r="C29" i="3"/>
  <c r="H28" i="3"/>
  <c r="I28" i="3" s="1"/>
  <c r="G28" i="3"/>
  <c r="E28" i="3"/>
  <c r="C28" i="3"/>
  <c r="C113" i="3" l="1"/>
  <c r="E113" i="3"/>
  <c r="G113" i="3"/>
  <c r="I90" i="3"/>
  <c r="I113" i="3"/>
  <c r="C67" i="3"/>
  <c r="E67" i="3"/>
  <c r="C90" i="3"/>
  <c r="E90" i="3"/>
  <c r="G90" i="3"/>
  <c r="G67" i="3"/>
  <c r="I67" i="3"/>
  <c r="H67" i="3"/>
  <c r="F67" i="3"/>
  <c r="D67" i="3"/>
  <c r="B67" i="3"/>
  <c r="H66" i="3"/>
  <c r="I66" i="3" s="1"/>
  <c r="G66" i="3"/>
  <c r="E66" i="3"/>
  <c r="C66" i="3"/>
  <c r="H65" i="3"/>
  <c r="I65" i="3" s="1"/>
  <c r="G65" i="3"/>
  <c r="E65" i="3"/>
  <c r="C65" i="3"/>
  <c r="H64" i="3"/>
  <c r="I64" i="3" s="1"/>
  <c r="G64" i="3"/>
  <c r="E64" i="3"/>
  <c r="C64" i="3"/>
  <c r="I63" i="3"/>
  <c r="H63" i="3"/>
  <c r="G63" i="3"/>
  <c r="E63" i="3"/>
  <c r="C63" i="3"/>
  <c r="H62" i="3"/>
  <c r="I62" i="3" s="1"/>
  <c r="G62" i="3"/>
  <c r="E62" i="3"/>
  <c r="C62" i="3"/>
  <c r="H61" i="3"/>
  <c r="I61" i="3" s="1"/>
  <c r="G61" i="3"/>
  <c r="E61" i="3"/>
  <c r="C61" i="3"/>
  <c r="H60" i="3"/>
  <c r="I60" i="3" s="1"/>
  <c r="G60" i="3"/>
  <c r="E60" i="3"/>
  <c r="C60" i="3"/>
  <c r="H59" i="3"/>
  <c r="I59" i="3" s="1"/>
  <c r="G59" i="3"/>
  <c r="E59" i="3"/>
  <c r="C59" i="3"/>
  <c r="H58" i="3"/>
  <c r="I58" i="3" s="1"/>
  <c r="G58" i="3"/>
  <c r="E58" i="3"/>
  <c r="C58" i="3"/>
  <c r="I57" i="3"/>
  <c r="H57" i="3"/>
  <c r="G57" i="3"/>
  <c r="E57" i="3"/>
  <c r="C57" i="3"/>
  <c r="H56" i="3"/>
  <c r="I56" i="3" s="1"/>
  <c r="G56" i="3"/>
  <c r="E56" i="3"/>
  <c r="C56" i="3"/>
  <c r="I55" i="3"/>
  <c r="H55" i="3"/>
  <c r="G55" i="3"/>
  <c r="E55" i="3"/>
  <c r="C55" i="3"/>
  <c r="H54" i="3"/>
  <c r="I54" i="3" s="1"/>
  <c r="G54" i="3"/>
  <c r="E54" i="3"/>
  <c r="C54" i="3"/>
  <c r="H53" i="3"/>
  <c r="I53" i="3" s="1"/>
  <c r="G53" i="3"/>
  <c r="E53" i="3"/>
  <c r="C53" i="3"/>
  <c r="H52" i="3"/>
  <c r="I52" i="3" s="1"/>
  <c r="G52" i="3"/>
  <c r="E52" i="3"/>
  <c r="C52" i="3"/>
  <c r="H51" i="3"/>
  <c r="I51" i="3" s="1"/>
  <c r="G51" i="3"/>
  <c r="E51" i="3"/>
  <c r="C51" i="3"/>
  <c r="F113" i="3" l="1"/>
  <c r="D113" i="3"/>
  <c r="B113" i="3"/>
  <c r="H112" i="3"/>
  <c r="I112" i="3" s="1"/>
  <c r="G112" i="3"/>
  <c r="E112" i="3"/>
  <c r="C112" i="3"/>
  <c r="H111" i="3"/>
  <c r="I111" i="3" s="1"/>
  <c r="G111" i="3"/>
  <c r="E111" i="3"/>
  <c r="C111" i="3"/>
  <c r="H110" i="3"/>
  <c r="I110" i="3" s="1"/>
  <c r="G110" i="3"/>
  <c r="E110" i="3"/>
  <c r="C110" i="3"/>
  <c r="I109" i="3"/>
  <c r="H109" i="3"/>
  <c r="G109" i="3"/>
  <c r="E109" i="3"/>
  <c r="C109" i="3"/>
  <c r="H108" i="3"/>
  <c r="I108" i="3" s="1"/>
  <c r="G108" i="3"/>
  <c r="E108" i="3"/>
  <c r="C108" i="3"/>
  <c r="H107" i="3"/>
  <c r="I107" i="3" s="1"/>
  <c r="G107" i="3"/>
  <c r="E107" i="3"/>
  <c r="C107" i="3"/>
  <c r="H106" i="3"/>
  <c r="I106" i="3" s="1"/>
  <c r="G106" i="3"/>
  <c r="E106" i="3"/>
  <c r="C106" i="3"/>
  <c r="H105" i="3"/>
  <c r="I105" i="3" s="1"/>
  <c r="G105" i="3"/>
  <c r="E105" i="3"/>
  <c r="C105" i="3"/>
  <c r="H104" i="3"/>
  <c r="I104" i="3" s="1"/>
  <c r="G104" i="3"/>
  <c r="E104" i="3"/>
  <c r="C104" i="3"/>
  <c r="H103" i="3"/>
  <c r="I103" i="3" s="1"/>
  <c r="G103" i="3"/>
  <c r="E103" i="3"/>
  <c r="C103" i="3"/>
  <c r="H102" i="3"/>
  <c r="I102" i="3" s="1"/>
  <c r="G102" i="3"/>
  <c r="E102" i="3"/>
  <c r="C102" i="3"/>
  <c r="I101" i="3"/>
  <c r="H101" i="3"/>
  <c r="G101" i="3"/>
  <c r="E101" i="3"/>
  <c r="C101" i="3"/>
  <c r="H100" i="3"/>
  <c r="I100" i="3" s="1"/>
  <c r="G100" i="3"/>
  <c r="E100" i="3"/>
  <c r="C100" i="3"/>
  <c r="H99" i="3"/>
  <c r="I99" i="3" s="1"/>
  <c r="G99" i="3"/>
  <c r="E99" i="3"/>
  <c r="C99" i="3"/>
  <c r="H98" i="3"/>
  <c r="I98" i="3" s="1"/>
  <c r="G98" i="3"/>
  <c r="E98" i="3"/>
  <c r="C98" i="3"/>
  <c r="H97" i="3"/>
  <c r="G97" i="3"/>
  <c r="E97" i="3"/>
  <c r="C97" i="3"/>
  <c r="D90" i="3"/>
  <c r="F90" i="3"/>
  <c r="B90" i="3"/>
  <c r="H89" i="3"/>
  <c r="I89" i="3" s="1"/>
  <c r="G89" i="3"/>
  <c r="E89" i="3"/>
  <c r="C89" i="3"/>
  <c r="H88" i="3"/>
  <c r="I88" i="3" s="1"/>
  <c r="G88" i="3"/>
  <c r="E88" i="3"/>
  <c r="C88" i="3"/>
  <c r="H87" i="3"/>
  <c r="I87" i="3" s="1"/>
  <c r="G87" i="3"/>
  <c r="E87" i="3"/>
  <c r="C87" i="3"/>
  <c r="H86" i="3"/>
  <c r="I86" i="3" s="1"/>
  <c r="G86" i="3"/>
  <c r="E86" i="3"/>
  <c r="C86" i="3"/>
  <c r="H85" i="3"/>
  <c r="I85" i="3" s="1"/>
  <c r="G85" i="3"/>
  <c r="E85" i="3"/>
  <c r="C85" i="3"/>
  <c r="H84" i="3"/>
  <c r="I84" i="3" s="1"/>
  <c r="G84" i="3"/>
  <c r="E84" i="3"/>
  <c r="C84" i="3"/>
  <c r="H83" i="3"/>
  <c r="I83" i="3" s="1"/>
  <c r="G83" i="3"/>
  <c r="E83" i="3"/>
  <c r="C83" i="3"/>
  <c r="I82" i="3"/>
  <c r="H82" i="3"/>
  <c r="G82" i="3"/>
  <c r="E82" i="3"/>
  <c r="C82" i="3"/>
  <c r="H81" i="3"/>
  <c r="I81" i="3" s="1"/>
  <c r="G81" i="3"/>
  <c r="E81" i="3"/>
  <c r="C81" i="3"/>
  <c r="H80" i="3"/>
  <c r="I80" i="3" s="1"/>
  <c r="G80" i="3"/>
  <c r="E80" i="3"/>
  <c r="C80" i="3"/>
  <c r="H79" i="3"/>
  <c r="I79" i="3" s="1"/>
  <c r="G79" i="3"/>
  <c r="E79" i="3"/>
  <c r="C79" i="3"/>
  <c r="H78" i="3"/>
  <c r="I78" i="3" s="1"/>
  <c r="G78" i="3"/>
  <c r="E78" i="3"/>
  <c r="C78" i="3"/>
  <c r="H77" i="3"/>
  <c r="I77" i="3" s="1"/>
  <c r="G77" i="3"/>
  <c r="E77" i="3"/>
  <c r="C77" i="3"/>
  <c r="H76" i="3"/>
  <c r="I76" i="3" s="1"/>
  <c r="G76" i="3"/>
  <c r="E76" i="3"/>
  <c r="C76" i="3"/>
  <c r="H75" i="3"/>
  <c r="I75" i="3" s="1"/>
  <c r="G75" i="3"/>
  <c r="E75" i="3"/>
  <c r="C75" i="3"/>
  <c r="H74" i="3"/>
  <c r="H90" i="3" s="1"/>
  <c r="G74" i="3"/>
  <c r="E74" i="3"/>
  <c r="C74" i="3"/>
  <c r="H113" i="3" l="1"/>
  <c r="I97" i="3"/>
  <c r="I74" i="3"/>
  <c r="H21" i="2"/>
  <c r="F21" i="2"/>
  <c r="D21" i="2"/>
  <c r="B21" i="2"/>
  <c r="H20" i="2"/>
  <c r="I20" i="2" s="1"/>
  <c r="G20" i="2"/>
  <c r="E20" i="2"/>
  <c r="C20" i="2"/>
  <c r="H19" i="2"/>
  <c r="I19" i="2" s="1"/>
  <c r="G19" i="2"/>
  <c r="E19" i="2"/>
  <c r="C19" i="2"/>
  <c r="H18" i="2"/>
  <c r="I18" i="2" s="1"/>
  <c r="G18" i="2"/>
  <c r="E18" i="2"/>
  <c r="C18" i="2"/>
  <c r="I17" i="2"/>
  <c r="H17" i="2"/>
  <c r="G17" i="2"/>
  <c r="E17" i="2"/>
  <c r="C17" i="2"/>
  <c r="H16" i="2"/>
  <c r="I16" i="2" s="1"/>
  <c r="G16" i="2"/>
  <c r="E16" i="2"/>
  <c r="C16" i="2"/>
  <c r="H15" i="2"/>
  <c r="I15" i="2" s="1"/>
  <c r="G15" i="2"/>
  <c r="E15" i="2"/>
  <c r="C15" i="2"/>
  <c r="H14" i="2"/>
  <c r="I14" i="2" s="1"/>
  <c r="G14" i="2"/>
  <c r="E14" i="2"/>
  <c r="C14" i="2"/>
  <c r="H13" i="2"/>
  <c r="I13" i="2" s="1"/>
  <c r="G13" i="2"/>
  <c r="E13" i="2"/>
  <c r="C13" i="2"/>
  <c r="I12" i="2"/>
  <c r="H12" i="2"/>
  <c r="G12" i="2"/>
  <c r="E12" i="2"/>
  <c r="C12" i="2"/>
  <c r="H11" i="2"/>
  <c r="I11" i="2" s="1"/>
  <c r="G11" i="2"/>
  <c r="E11" i="2"/>
  <c r="C11" i="2"/>
  <c r="H10" i="2"/>
  <c r="I10" i="2" s="1"/>
  <c r="G10" i="2"/>
  <c r="E10" i="2"/>
  <c r="C10" i="2"/>
  <c r="H9" i="2"/>
  <c r="I9" i="2" s="1"/>
  <c r="G9" i="2"/>
  <c r="E9" i="2"/>
  <c r="C9" i="2"/>
  <c r="H8" i="2"/>
  <c r="I8" i="2" s="1"/>
  <c r="G8" i="2"/>
  <c r="E8" i="2"/>
  <c r="C8" i="2"/>
  <c r="I7" i="2"/>
  <c r="H7" i="2"/>
  <c r="G7" i="2"/>
  <c r="E7" i="2"/>
  <c r="C7" i="2"/>
  <c r="H6" i="2"/>
  <c r="I6" i="2" s="1"/>
  <c r="G6" i="2"/>
  <c r="E6" i="2"/>
  <c r="C6" i="2"/>
  <c r="H5" i="2"/>
  <c r="I5" i="2" s="1"/>
  <c r="G5" i="2"/>
  <c r="E5" i="2"/>
  <c r="C5" i="2"/>
  <c r="F44" i="2" l="1"/>
  <c r="D44" i="2"/>
  <c r="B44" i="2"/>
  <c r="H43" i="2"/>
  <c r="I43" i="2" s="1"/>
  <c r="G43" i="2"/>
  <c r="E43" i="2"/>
  <c r="C43" i="2"/>
  <c r="H42" i="2"/>
  <c r="I42" i="2" s="1"/>
  <c r="G42" i="2"/>
  <c r="E42" i="2"/>
  <c r="C42" i="2"/>
  <c r="H41" i="2"/>
  <c r="I41" i="2" s="1"/>
  <c r="G41" i="2"/>
  <c r="E41" i="2"/>
  <c r="C41" i="2"/>
  <c r="I40" i="2"/>
  <c r="H40" i="2"/>
  <c r="G40" i="2"/>
  <c r="E40" i="2"/>
  <c r="C40" i="2"/>
  <c r="H39" i="2"/>
  <c r="I39" i="2" s="1"/>
  <c r="G39" i="2"/>
  <c r="E39" i="2"/>
  <c r="C39" i="2"/>
  <c r="H38" i="2"/>
  <c r="I38" i="2" s="1"/>
  <c r="G38" i="2"/>
  <c r="E38" i="2"/>
  <c r="C38" i="2"/>
  <c r="H37" i="2"/>
  <c r="I37" i="2" s="1"/>
  <c r="G37" i="2"/>
  <c r="E37" i="2"/>
  <c r="C37" i="2"/>
  <c r="H36" i="2"/>
  <c r="I36" i="2" s="1"/>
  <c r="G36" i="2"/>
  <c r="E36" i="2"/>
  <c r="C36" i="2"/>
  <c r="H35" i="2"/>
  <c r="I35" i="2" s="1"/>
  <c r="G35" i="2"/>
  <c r="E35" i="2"/>
  <c r="C35" i="2"/>
  <c r="H34" i="2"/>
  <c r="I34" i="2" s="1"/>
  <c r="G34" i="2"/>
  <c r="E34" i="2"/>
  <c r="C34" i="2"/>
  <c r="H33" i="2"/>
  <c r="I33" i="2" s="1"/>
  <c r="G33" i="2"/>
  <c r="E33" i="2"/>
  <c r="C33" i="2"/>
  <c r="I32" i="2"/>
  <c r="H32" i="2"/>
  <c r="G32" i="2"/>
  <c r="E32" i="2"/>
  <c r="C32" i="2"/>
  <c r="H31" i="2"/>
  <c r="I31" i="2" s="1"/>
  <c r="G31" i="2"/>
  <c r="E31" i="2"/>
  <c r="C31" i="2"/>
  <c r="H30" i="2"/>
  <c r="I30" i="2" s="1"/>
  <c r="G30" i="2"/>
  <c r="E30" i="2"/>
  <c r="C30" i="2"/>
  <c r="H29" i="2"/>
  <c r="I29" i="2" s="1"/>
  <c r="G29" i="2"/>
  <c r="E29" i="2"/>
  <c r="C29" i="2"/>
  <c r="H28" i="2"/>
  <c r="G28" i="2"/>
  <c r="E28" i="2"/>
  <c r="C28" i="2"/>
  <c r="F67" i="2"/>
  <c r="D67" i="2"/>
  <c r="B67" i="2"/>
  <c r="H66" i="2"/>
  <c r="I66" i="2" s="1"/>
  <c r="G66" i="2"/>
  <c r="E66" i="2"/>
  <c r="C66" i="2"/>
  <c r="H65" i="2"/>
  <c r="I65" i="2" s="1"/>
  <c r="G65" i="2"/>
  <c r="E65" i="2"/>
  <c r="C65" i="2"/>
  <c r="H64" i="2"/>
  <c r="I64" i="2" s="1"/>
  <c r="G64" i="2"/>
  <c r="E64" i="2"/>
  <c r="C64" i="2"/>
  <c r="H63" i="2"/>
  <c r="I63" i="2" s="1"/>
  <c r="G63" i="2"/>
  <c r="E63" i="2"/>
  <c r="C63" i="2"/>
  <c r="H62" i="2"/>
  <c r="I62" i="2" s="1"/>
  <c r="G62" i="2"/>
  <c r="E62" i="2"/>
  <c r="C62" i="2"/>
  <c r="H61" i="2"/>
  <c r="I61" i="2" s="1"/>
  <c r="G61" i="2"/>
  <c r="E61" i="2"/>
  <c r="C61" i="2"/>
  <c r="H60" i="2"/>
  <c r="I60" i="2" s="1"/>
  <c r="G60" i="2"/>
  <c r="E60" i="2"/>
  <c r="C60" i="2"/>
  <c r="H59" i="2"/>
  <c r="I59" i="2" s="1"/>
  <c r="G59" i="2"/>
  <c r="E59" i="2"/>
  <c r="C59" i="2"/>
  <c r="H58" i="2"/>
  <c r="I58" i="2" s="1"/>
  <c r="G58" i="2"/>
  <c r="E58" i="2"/>
  <c r="C58" i="2"/>
  <c r="I57" i="2"/>
  <c r="H57" i="2"/>
  <c r="G57" i="2"/>
  <c r="E57" i="2"/>
  <c r="C57" i="2"/>
  <c r="H56" i="2"/>
  <c r="I56" i="2" s="1"/>
  <c r="G56" i="2"/>
  <c r="E56" i="2"/>
  <c r="C56" i="2"/>
  <c r="H55" i="2"/>
  <c r="I55" i="2" s="1"/>
  <c r="G55" i="2"/>
  <c r="E55" i="2"/>
  <c r="C55" i="2"/>
  <c r="H54" i="2"/>
  <c r="I54" i="2" s="1"/>
  <c r="G54" i="2"/>
  <c r="E54" i="2"/>
  <c r="C54" i="2"/>
  <c r="H53" i="2"/>
  <c r="I53" i="2" s="1"/>
  <c r="G53" i="2"/>
  <c r="E53" i="2"/>
  <c r="C53" i="2"/>
  <c r="H52" i="2"/>
  <c r="I52" i="2" s="1"/>
  <c r="G52" i="2"/>
  <c r="E52" i="2"/>
  <c r="C52" i="2"/>
  <c r="H51" i="2"/>
  <c r="I51" i="2" s="1"/>
  <c r="G51" i="2"/>
  <c r="E51" i="2"/>
  <c r="C51" i="2"/>
  <c r="H44" i="2" l="1"/>
  <c r="I28" i="2"/>
  <c r="H67" i="2"/>
  <c r="E75" i="2" l="1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74" i="2"/>
  <c r="C75" i="2" l="1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74" i="2"/>
  <c r="D90" i="2" l="1"/>
  <c r="F90" i="2"/>
  <c r="B90" i="2"/>
  <c r="H89" i="2"/>
  <c r="I89" i="2" s="1"/>
  <c r="H88" i="2"/>
  <c r="I88" i="2" s="1"/>
  <c r="H87" i="2"/>
  <c r="I87" i="2" s="1"/>
  <c r="H86" i="2"/>
  <c r="I86" i="2" s="1"/>
  <c r="H85" i="2"/>
  <c r="I85" i="2" s="1"/>
  <c r="H84" i="2"/>
  <c r="I84" i="2" s="1"/>
  <c r="H83" i="2"/>
  <c r="I83" i="2" s="1"/>
  <c r="H82" i="2"/>
  <c r="I82" i="2" s="1"/>
  <c r="H81" i="2"/>
  <c r="I81" i="2" s="1"/>
  <c r="H80" i="2"/>
  <c r="I80" i="2" s="1"/>
  <c r="H79" i="2"/>
  <c r="I79" i="2" s="1"/>
  <c r="H78" i="2"/>
  <c r="I78" i="2" s="1"/>
  <c r="H77" i="2"/>
  <c r="I77" i="2" s="1"/>
  <c r="H76" i="2"/>
  <c r="I76" i="2" s="1"/>
  <c r="H75" i="2"/>
  <c r="I75" i="2" s="1"/>
  <c r="H74" i="2"/>
  <c r="I74" i="2" s="1"/>
  <c r="H90" i="2" l="1"/>
  <c r="AL12" i="1"/>
  <c r="AL11" i="1"/>
  <c r="AL10" i="1"/>
  <c r="AL13" i="1"/>
  <c r="AL9" i="1" l="1"/>
  <c r="AK9" i="1" s="1"/>
  <c r="AK11" i="1"/>
  <c r="AG11" i="1" s="1"/>
  <c r="AK13" i="1"/>
  <c r="AG13" i="1" s="1"/>
  <c r="AK29" i="1"/>
  <c r="AH12" i="1" s="1"/>
  <c r="N55" i="1"/>
  <c r="M55" i="1"/>
  <c r="L55" i="1"/>
  <c r="K55" i="1"/>
  <c r="J55" i="1"/>
  <c r="I55" i="1"/>
  <c r="H55" i="1"/>
  <c r="G55" i="1"/>
  <c r="F55" i="1"/>
  <c r="E55" i="1"/>
  <c r="D55" i="1"/>
  <c r="C55" i="1"/>
  <c r="R54" i="1"/>
  <c r="Q54" i="1"/>
  <c r="P54" i="1"/>
  <c r="O54" i="1"/>
  <c r="R53" i="1"/>
  <c r="Q53" i="1"/>
  <c r="P53" i="1"/>
  <c r="O53" i="1"/>
  <c r="R52" i="1"/>
  <c r="Q52" i="1"/>
  <c r="P52" i="1"/>
  <c r="O52" i="1"/>
  <c r="R51" i="1"/>
  <c r="Q51" i="1"/>
  <c r="P51" i="1"/>
  <c r="O51" i="1"/>
  <c r="R50" i="1"/>
  <c r="Q50" i="1"/>
  <c r="P50" i="1"/>
  <c r="O50" i="1"/>
  <c r="R49" i="1"/>
  <c r="Q49" i="1"/>
  <c r="P49" i="1"/>
  <c r="O49" i="1"/>
  <c r="R48" i="1"/>
  <c r="Q48" i="1"/>
  <c r="P48" i="1"/>
  <c r="O48" i="1"/>
  <c r="R47" i="1"/>
  <c r="Q47" i="1"/>
  <c r="P47" i="1"/>
  <c r="O47" i="1"/>
  <c r="R46" i="1"/>
  <c r="Q46" i="1"/>
  <c r="P46" i="1"/>
  <c r="O46" i="1"/>
  <c r="R45" i="1"/>
  <c r="Q45" i="1"/>
  <c r="P45" i="1"/>
  <c r="O45" i="1"/>
  <c r="R44" i="1"/>
  <c r="Q44" i="1"/>
  <c r="P44" i="1"/>
  <c r="O44" i="1"/>
  <c r="R43" i="1"/>
  <c r="Q43" i="1"/>
  <c r="P43" i="1"/>
  <c r="O43" i="1"/>
  <c r="R42" i="1"/>
  <c r="Q42" i="1"/>
  <c r="P42" i="1"/>
  <c r="O42" i="1"/>
  <c r="R41" i="1"/>
  <c r="Q41" i="1"/>
  <c r="P41" i="1"/>
  <c r="O41" i="1"/>
  <c r="R40" i="1"/>
  <c r="Q40" i="1"/>
  <c r="P40" i="1"/>
  <c r="O40" i="1"/>
  <c r="R39" i="1"/>
  <c r="Q39" i="1"/>
  <c r="P39" i="1"/>
  <c r="P55" i="1" s="1"/>
  <c r="O39" i="1"/>
  <c r="O55" i="1" s="1"/>
  <c r="AK10" i="1" l="1"/>
  <c r="AG10" i="1" s="1"/>
  <c r="AK12" i="1"/>
  <c r="AG12" i="1" s="1"/>
  <c r="Q55" i="1"/>
  <c r="AK28" i="1"/>
  <c r="AH11" i="1" s="1"/>
  <c r="AK30" i="1"/>
  <c r="AH13" i="1" s="1"/>
  <c r="AK26" i="1"/>
  <c r="AK27" i="1"/>
  <c r="AH10" i="1" s="1"/>
  <c r="R55" i="1"/>
  <c r="T29" i="1"/>
  <c r="T30" i="1"/>
  <c r="T31" i="1"/>
  <c r="T32" i="1"/>
  <c r="T33" i="1"/>
  <c r="T34" i="1"/>
  <c r="T35" i="1"/>
  <c r="T20" i="1" l="1"/>
  <c r="T12" i="1"/>
  <c r="T4" i="1"/>
  <c r="AK21" i="1" l="1"/>
  <c r="AK23" i="1"/>
  <c r="AH6" i="1" s="1"/>
  <c r="AK25" i="1"/>
  <c r="AH8" i="1" s="1"/>
  <c r="AK22" i="1"/>
  <c r="AH5" i="1" s="1"/>
  <c r="AK24" i="1"/>
  <c r="AH7" i="1" s="1"/>
  <c r="T28" i="1"/>
  <c r="R35" i="1" l="1"/>
  <c r="R34" i="1"/>
  <c r="R33" i="1"/>
  <c r="R32" i="1"/>
  <c r="R31" i="1"/>
  <c r="R30" i="1"/>
  <c r="R29" i="1"/>
  <c r="R20" i="1"/>
  <c r="R12" i="1"/>
  <c r="R4" i="1"/>
  <c r="R28" i="1" l="1"/>
  <c r="S35" i="1"/>
  <c r="S34" i="1"/>
  <c r="S33" i="1"/>
  <c r="S32" i="1"/>
  <c r="S31" i="1"/>
  <c r="S30" i="1"/>
  <c r="S29" i="1"/>
  <c r="S20" i="1"/>
  <c r="S12" i="1"/>
  <c r="S4" i="1"/>
  <c r="S28" i="1" l="1"/>
  <c r="Q35" i="1" l="1"/>
  <c r="Q34" i="1"/>
  <c r="Q30" i="1"/>
  <c r="Q31" i="1"/>
  <c r="Q32" i="1"/>
  <c r="Q33" i="1"/>
  <c r="Q29" i="1"/>
  <c r="Q28" i="1" l="1"/>
  <c r="Q20" i="1"/>
  <c r="Q12" i="1"/>
  <c r="Q4" i="1"/>
  <c r="P35" i="1" l="1"/>
  <c r="P34" i="1"/>
  <c r="P12" i="1"/>
  <c r="P4" i="1"/>
  <c r="O32" i="1"/>
  <c r="O31" i="1"/>
  <c r="O30" i="1"/>
  <c r="O29" i="1"/>
  <c r="O20" i="1"/>
  <c r="O12" i="1"/>
  <c r="O4" i="1"/>
  <c r="O28" i="1" l="1"/>
  <c r="P20" i="1"/>
  <c r="N29" i="1" l="1"/>
  <c r="N30" i="1"/>
  <c r="N31" i="1"/>
  <c r="N32" i="1"/>
  <c r="N4" i="1"/>
  <c r="N12" i="1"/>
  <c r="N20" i="1"/>
  <c r="P32" i="1"/>
  <c r="P31" i="1"/>
  <c r="P30" i="1"/>
  <c r="P29" i="1"/>
  <c r="M4" i="1"/>
  <c r="M12" i="1"/>
  <c r="M20" i="1"/>
  <c r="M29" i="1"/>
  <c r="M30" i="1"/>
  <c r="M31" i="1"/>
  <c r="M32" i="1"/>
  <c r="E32" i="1"/>
  <c r="F32" i="1"/>
  <c r="G32" i="1"/>
  <c r="H32" i="1"/>
  <c r="I32" i="1"/>
  <c r="J32" i="1"/>
  <c r="K32" i="1"/>
  <c r="L32" i="1"/>
  <c r="D32" i="1"/>
  <c r="D28" i="1"/>
  <c r="E28" i="1"/>
  <c r="F28" i="1"/>
  <c r="G4" i="1"/>
  <c r="G12" i="1"/>
  <c r="G20" i="1"/>
  <c r="H28" i="1"/>
  <c r="I4" i="1"/>
  <c r="I12" i="1"/>
  <c r="I20" i="1"/>
  <c r="J4" i="1"/>
  <c r="J12" i="1"/>
  <c r="J20" i="1"/>
  <c r="K4" i="1"/>
  <c r="K12" i="1"/>
  <c r="K20" i="1"/>
  <c r="L4" i="1"/>
  <c r="L12" i="1"/>
  <c r="L20" i="1"/>
  <c r="C28" i="1"/>
  <c r="D30" i="1"/>
  <c r="E30" i="1"/>
  <c r="F30" i="1"/>
  <c r="G30" i="1"/>
  <c r="H30" i="1"/>
  <c r="I30" i="1"/>
  <c r="J30" i="1"/>
  <c r="K30" i="1"/>
  <c r="AL6" i="1" s="1"/>
  <c r="L30" i="1"/>
  <c r="D31" i="1"/>
  <c r="E31" i="1"/>
  <c r="F31" i="1"/>
  <c r="G31" i="1"/>
  <c r="H31" i="1"/>
  <c r="I31" i="1"/>
  <c r="J31" i="1"/>
  <c r="K31" i="1"/>
  <c r="AL7" i="1" s="1"/>
  <c r="L31" i="1"/>
  <c r="C30" i="1"/>
  <c r="C31" i="1"/>
  <c r="D29" i="1"/>
  <c r="E29" i="1"/>
  <c r="F29" i="1"/>
  <c r="G29" i="1"/>
  <c r="H29" i="1"/>
  <c r="I29" i="1"/>
  <c r="J29" i="1"/>
  <c r="K29" i="1"/>
  <c r="AL5" i="1" s="1"/>
  <c r="L29" i="1"/>
  <c r="C29" i="1"/>
  <c r="AL4" i="1" l="1"/>
  <c r="AK7" i="1" s="1"/>
  <c r="AG7" i="1" s="1"/>
  <c r="P28" i="1"/>
  <c r="L28" i="1"/>
  <c r="J28" i="1"/>
  <c r="K28" i="1"/>
  <c r="I28" i="1"/>
  <c r="G28" i="1"/>
  <c r="M28" i="1"/>
  <c r="N28" i="1"/>
  <c r="AK6" i="1" l="1"/>
  <c r="AG6" i="1" s="1"/>
  <c r="AK5" i="1"/>
  <c r="AG5" i="1" s="1"/>
  <c r="AK8" i="1"/>
  <c r="AG8" i="1" s="1"/>
  <c r="AK4" i="1"/>
</calcChain>
</file>

<file path=xl/sharedStrings.xml><?xml version="1.0" encoding="utf-8"?>
<sst xmlns="http://schemas.openxmlformats.org/spreadsheetml/2006/main" count="882" uniqueCount="85">
  <si>
    <t>Kravas</t>
  </si>
  <si>
    <t>Vieglie</t>
  </si>
  <si>
    <t>Autobusi</t>
  </si>
  <si>
    <t>uz  01.01.1999.</t>
  </si>
  <si>
    <t>uz  01.01.2000.</t>
  </si>
  <si>
    <t>…</t>
  </si>
  <si>
    <t>uz  01.01.2001.</t>
  </si>
  <si>
    <t>uz  01.01.2002.</t>
  </si>
  <si>
    <t>ar benzīna dzinēju</t>
  </si>
  <si>
    <t>ar dīzeļdegvielas dzinēju</t>
  </si>
  <si>
    <t>ar gāzes dzinēju</t>
  </si>
  <si>
    <t>uz  01.01.2003.</t>
  </si>
  <si>
    <t>uz  01.01.2004.</t>
  </si>
  <si>
    <t>uz  01.01.2005.</t>
  </si>
  <si>
    <t>uz  01.01.2006.</t>
  </si>
  <si>
    <t>uz  01.01.2007.</t>
  </si>
  <si>
    <t>uz  01.01.2008.</t>
  </si>
  <si>
    <t>uz  01.01.2009.</t>
  </si>
  <si>
    <t>Kopā</t>
  </si>
  <si>
    <t>uz  01.01.2010.</t>
  </si>
  <si>
    <t>uz  01.01.2011.</t>
  </si>
  <si>
    <t>ar elektrības dzinēju</t>
  </si>
  <si>
    <t>uz  01.01.2012.</t>
  </si>
  <si>
    <t>ar elektrības&amp;benzīna dzinēju</t>
  </si>
  <si>
    <t>uz  01.01.2013.</t>
  </si>
  <si>
    <t>ar gāzes&amp;dīzeļa dzinēju</t>
  </si>
  <si>
    <t>uz  01.01.2014.</t>
  </si>
  <si>
    <t>uz  01.01.2015.</t>
  </si>
  <si>
    <t>uz  01.01.2016.</t>
  </si>
  <si>
    <t>Dzinēja veids</t>
  </si>
  <si>
    <t>Vieglais</t>
  </si>
  <si>
    <t>Autobuss</t>
  </si>
  <si>
    <t>Uz 01.04.2016.</t>
  </si>
  <si>
    <t>Uz 01.07.2016.</t>
  </si>
  <si>
    <t>Uz 01.10.2016.</t>
  </si>
  <si>
    <t>Uz 01.01.2017.</t>
  </si>
  <si>
    <t>Benzīns</t>
  </si>
  <si>
    <t>Dīzeļdegviela</t>
  </si>
  <si>
    <t>Gāze</t>
  </si>
  <si>
    <t>Elektrība un benzīns</t>
  </si>
  <si>
    <t>Elektrība un dīzeļdegviela</t>
  </si>
  <si>
    <t>Elektrība</t>
  </si>
  <si>
    <t>Gāzģenerators</t>
  </si>
  <si>
    <t>Benzīns un gāze</t>
  </si>
  <si>
    <t>Dīzeļdegviela un gāze</t>
  </si>
  <si>
    <t>Benzīns un naftas gāze</t>
  </si>
  <si>
    <t>Benzīns un dabas gāze</t>
  </si>
  <si>
    <t>Dīzeļdegviela un naftas gāze</t>
  </si>
  <si>
    <t>Dīzeļdegviela un dabas gāze</t>
  </si>
  <si>
    <t>Naftas gāze</t>
  </si>
  <si>
    <t>Dabas gāze</t>
  </si>
  <si>
    <t>Dabas gāze un naftas gāze</t>
  </si>
  <si>
    <t>LATVIJĀ REĢISTRĒTO TRANSPORTLĪDZEKĻU SKAITS PĒC DEGVIELAS VEIDA</t>
  </si>
  <si>
    <t>benzīns</t>
  </si>
  <si>
    <t>dīzelis</t>
  </si>
  <si>
    <t>uz 01.01.2017.</t>
  </si>
  <si>
    <t>uz 01.01.2007.</t>
  </si>
  <si>
    <t>gāze*</t>
  </si>
  <si>
    <t>* - visi dzinēji, kuros viens no veidiem ir gāze</t>
  </si>
  <si>
    <t>** - visi dzinēji, kuros viens no veidiem ir elektrība</t>
  </si>
  <si>
    <t>ar gāzes&amp;benzīna dzinēju</t>
  </si>
  <si>
    <r>
      <t>gāze</t>
    </r>
    <r>
      <rPr>
        <vertAlign val="superscript"/>
        <sz val="8"/>
        <color theme="0"/>
        <rFont val="Times New Roman"/>
        <family val="1"/>
        <charset val="186"/>
      </rPr>
      <t>1</t>
    </r>
  </si>
  <si>
    <r>
      <t>elektrība</t>
    </r>
    <r>
      <rPr>
        <vertAlign val="superscript"/>
        <sz val="8"/>
        <color theme="0"/>
        <rFont val="Times New Roman"/>
        <family val="1"/>
        <charset val="186"/>
      </rPr>
      <t>**</t>
    </r>
  </si>
  <si>
    <r>
      <t>elektrība</t>
    </r>
    <r>
      <rPr>
        <vertAlign val="superscript"/>
        <sz val="8"/>
        <color theme="0"/>
        <rFont val="Times New Roman"/>
        <family val="1"/>
        <charset val="186"/>
      </rPr>
      <t>2</t>
    </r>
    <r>
      <rPr>
        <sz val="11"/>
        <color theme="1"/>
        <rFont val="Calibri"/>
        <family val="2"/>
        <charset val="186"/>
        <scheme val="minor"/>
      </rPr>
      <t/>
    </r>
  </si>
  <si>
    <t>Dati uz 01.04.2017.</t>
  </si>
  <si>
    <t>Degvielas</t>
  </si>
  <si>
    <t>veids</t>
  </si>
  <si>
    <t>skaits</t>
  </si>
  <si>
    <t>%</t>
  </si>
  <si>
    <t>Dati uz 01.07.2017.</t>
  </si>
  <si>
    <t>Dati uz 01.10.2017.</t>
  </si>
  <si>
    <t>Dati uz 01.01.2018.</t>
  </si>
  <si>
    <t>Dati uz 01.04.2018.</t>
  </si>
  <si>
    <t>Dati uz 01.07.2018.</t>
  </si>
  <si>
    <t>Dati uz 01.10.2018.</t>
  </si>
  <si>
    <t>Dati uz 01.01.2019.</t>
  </si>
  <si>
    <t>Reģistrēto transportlīdzekļu skaits uz 01.01.2020.</t>
  </si>
  <si>
    <t>Reģistrēto transportlīdzekļu skaits uz 01.10.2019.</t>
  </si>
  <si>
    <t>Reģistrēto transportlīdzekļu skaits uz 01.04.2019.</t>
  </si>
  <si>
    <t>Reģistrēto transportlīdzekļu skaits uz 01.07.2019.</t>
  </si>
  <si>
    <t>Reģistrēto transportlīdzekļu skaits uz 01.04.2020.</t>
  </si>
  <si>
    <t>Reģistrēto transportlīdzekļu skaits uz 01.07.2020.</t>
  </si>
  <si>
    <t>Reģistrēto transportlīdzekļu skaits uz 01.10.2020.</t>
  </si>
  <si>
    <t>Reģistrēto transportlīdzekļu skaits uz 01.01.2021.</t>
  </si>
  <si>
    <t>Reģistrēto transportlīdzekļu skaits uz 01.04.2021.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</si>
</sst>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3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sz val="8"/>
      <name val="Arial"/>
      <family val="2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8"/>
      <color rgb="FFC00000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b/>
      <sz val="8"/>
      <color indexed="8"/>
      <name val="Times New Roman"/>
      <family val="1"/>
      <charset val="186"/>
    </font>
    <font>
      <sz val="8"/>
      <color indexed="8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Arial"/>
      <family val="2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b/>
      <sz val="8"/>
      <color theme="0"/>
      <name val="Times New Roman"/>
      <family val="1"/>
      <charset val="186"/>
    </font>
    <font>
      <vertAlign val="superscript"/>
      <sz val="8"/>
      <color theme="0"/>
      <name val="Times New Roman"/>
      <family val="1"/>
      <charset val="186"/>
    </font>
    <font>
      <b/>
      <sz val="18"/>
      <color theme="0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98">
    <xf numFmtId="0" fontId="0" fillId="0" borderId="0" xfId="0"/>
    <xf numFmtId="0" fontId="5" fillId="0" borderId="0" xfId="0" applyFont="1" applyBorder="1" applyAlignment="1">
      <alignment horizontal="left" wrapText="1"/>
    </xf>
    <xf numFmtId="0" fontId="3" fillId="0" borderId="1" xfId="0" applyFont="1" applyBorder="1"/>
    <xf numFmtId="0" fontId="4" fillId="0" borderId="1" xfId="0" applyFont="1" applyFill="1" applyBorder="1" applyAlignment="1">
      <alignment horizontal="center" vertical="center" textRotation="90"/>
    </xf>
    <xf numFmtId="0" fontId="8" fillId="0" borderId="1" xfId="0" applyFont="1" applyFill="1" applyBorder="1"/>
    <xf numFmtId="0" fontId="3" fillId="0" borderId="1" xfId="0" applyFont="1" applyFill="1" applyBorder="1"/>
    <xf numFmtId="0" fontId="9" fillId="0" borderId="1" xfId="0" applyFont="1" applyFill="1" applyBorder="1"/>
    <xf numFmtId="0" fontId="6" fillId="2" borderId="1" xfId="0" applyFont="1" applyFill="1" applyBorder="1"/>
    <xf numFmtId="0" fontId="7" fillId="2" borderId="1" xfId="0" applyFont="1" applyFill="1" applyBorder="1"/>
    <xf numFmtId="0" fontId="7" fillId="2" borderId="1" xfId="0" applyFont="1" applyFill="1" applyBorder="1" applyAlignment="1">
      <alignment horizontal="right"/>
    </xf>
    <xf numFmtId="0" fontId="4" fillId="0" borderId="3" xfId="0" applyFont="1" applyFill="1" applyBorder="1" applyAlignment="1">
      <alignment horizontal="center" textRotation="90"/>
    </xf>
    <xf numFmtId="0" fontId="6" fillId="0" borderId="1" xfId="0" applyFont="1" applyFill="1" applyBorder="1"/>
    <xf numFmtId="0" fontId="7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3" fillId="0" borderId="0" xfId="0" applyFont="1" applyBorder="1"/>
    <xf numFmtId="0" fontId="4" fillId="0" borderId="1" xfId="0" applyFont="1" applyBorder="1"/>
    <xf numFmtId="0" fontId="7" fillId="0" borderId="1" xfId="0" applyFont="1" applyBorder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4" xfId="0" applyFont="1" applyBorder="1" applyAlignment="1">
      <alignment horizontal="center" textRotation="90"/>
    </xf>
    <xf numFmtId="0" fontId="6" fillId="2" borderId="1" xfId="0" applyFont="1" applyFill="1" applyBorder="1" applyAlignment="1">
      <alignment horizontal="center" textRotation="90"/>
    </xf>
    <xf numFmtId="0" fontId="4" fillId="2" borderId="1" xfId="0" applyFont="1" applyFill="1" applyBorder="1"/>
    <xf numFmtId="0" fontId="4" fillId="0" borderId="1" xfId="0" applyFont="1" applyFill="1" applyBorder="1" applyAlignment="1">
      <alignment horizontal="center" textRotation="90"/>
    </xf>
    <xf numFmtId="0" fontId="6" fillId="0" borderId="1" xfId="0" applyFont="1" applyFill="1" applyBorder="1" applyAlignment="1">
      <alignment horizontal="right"/>
    </xf>
    <xf numFmtId="0" fontId="3" fillId="2" borderId="1" xfId="0" applyFont="1" applyFill="1" applyBorder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2" fillId="0" borderId="0" xfId="0" applyFont="1"/>
    <xf numFmtId="0" fontId="12" fillId="0" borderId="0" xfId="0" applyFont="1" applyAlignment="1">
      <alignment textRotation="90"/>
    </xf>
    <xf numFmtId="0" fontId="13" fillId="0" borderId="0" xfId="0" applyFont="1"/>
    <xf numFmtId="10" fontId="12" fillId="0" borderId="0" xfId="0" applyNumberFormat="1" applyFont="1"/>
    <xf numFmtId="0" fontId="14" fillId="0" borderId="0" xfId="0" applyFont="1"/>
    <xf numFmtId="10" fontId="14" fillId="0" borderId="0" xfId="1" applyNumberFormat="1" applyFont="1"/>
    <xf numFmtId="10" fontId="12" fillId="0" borderId="0" xfId="1" applyNumberFormat="1" applyFont="1"/>
    <xf numFmtId="0" fontId="16" fillId="0" borderId="0" xfId="0" applyFont="1" applyAlignment="1">
      <alignment textRotation="180"/>
    </xf>
    <xf numFmtId="0" fontId="17" fillId="0" borderId="0" xfId="0" applyFont="1"/>
    <xf numFmtId="0" fontId="18" fillId="0" borderId="0" xfId="0" applyFont="1"/>
    <xf numFmtId="0" fontId="19" fillId="0" borderId="1" xfId="0" applyFont="1" applyBorder="1"/>
    <xf numFmtId="0" fontId="18" fillId="0" borderId="1" xfId="0" applyFont="1" applyFill="1" applyBorder="1"/>
    <xf numFmtId="164" fontId="18" fillId="0" borderId="1" xfId="1" applyNumberFormat="1" applyFont="1" applyFill="1" applyBorder="1"/>
    <xf numFmtId="0" fontId="20" fillId="2" borderId="1" xfId="0" applyFont="1" applyFill="1" applyBorder="1" applyAlignment="1">
      <alignment horizontal="center"/>
    </xf>
    <xf numFmtId="0" fontId="21" fillId="2" borderId="1" xfId="0" applyFont="1" applyFill="1" applyBorder="1"/>
    <xf numFmtId="164" fontId="21" fillId="2" borderId="1" xfId="1" applyNumberFormat="1" applyFont="1" applyFill="1" applyBorder="1"/>
    <xf numFmtId="0" fontId="20" fillId="2" borderId="1" xfId="0" applyFont="1" applyFill="1" applyBorder="1"/>
    <xf numFmtId="0" fontId="19" fillId="0" borderId="1" xfId="0" applyFont="1" applyBorder="1" applyAlignment="1">
      <alignment horizontal="center"/>
    </xf>
    <xf numFmtId="164" fontId="18" fillId="2" borderId="1" xfId="1" applyNumberFormat="1" applyFont="1" applyFill="1" applyBorder="1"/>
    <xf numFmtId="0" fontId="20" fillId="2" borderId="1" xfId="0" applyFont="1" applyFill="1" applyBorder="1" applyAlignment="1">
      <alignment horizontal="center"/>
    </xf>
    <xf numFmtId="0" fontId="22" fillId="0" borderId="1" xfId="0" applyFont="1" applyBorder="1" applyAlignment="1">
      <alignment horizontal="center"/>
    </xf>
    <xf numFmtId="164" fontId="19" fillId="0" borderId="1" xfId="1" applyNumberFormat="1" applyFont="1" applyFill="1" applyBorder="1"/>
    <xf numFmtId="164" fontId="20" fillId="2" borderId="1" xfId="1" applyNumberFormat="1" applyFont="1" applyFill="1" applyBorder="1"/>
    <xf numFmtId="0" fontId="20" fillId="2" borderId="1" xfId="0" applyFont="1" applyFill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18" fillId="0" borderId="0" xfId="0" applyFont="1" applyFill="1"/>
    <xf numFmtId="0" fontId="20" fillId="0" borderId="0" xfId="0" applyFont="1" applyFill="1" applyBorder="1"/>
    <xf numFmtId="0" fontId="21" fillId="0" borderId="0" xfId="0" applyFont="1" applyFill="1" applyBorder="1"/>
    <xf numFmtId="164" fontId="18" fillId="0" borderId="0" xfId="1" applyNumberFormat="1" applyFont="1" applyFill="1" applyBorder="1"/>
    <xf numFmtId="0" fontId="20" fillId="0" borderId="1" xfId="0" applyFont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164" fontId="19" fillId="0" borderId="0" xfId="1" applyNumberFormat="1" applyFont="1" applyFill="1" applyBorder="1"/>
    <xf numFmtId="0" fontId="20" fillId="0" borderId="1" xfId="0" applyFont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19" fillId="0" borderId="1" xfId="0" applyFont="1" applyFill="1" applyBorder="1"/>
    <xf numFmtId="0" fontId="21" fillId="0" borderId="0" xfId="0" applyFont="1"/>
    <xf numFmtId="0" fontId="20" fillId="0" borderId="1" xfId="0" applyFont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19" fillId="0" borderId="0" xfId="0" applyFont="1"/>
    <xf numFmtId="0" fontId="19" fillId="0" borderId="1" xfId="0" applyFont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6" fillId="0" borderId="5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2" borderId="1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'1999_2016'!$AG$3</c:f>
              <c:strCache>
                <c:ptCount val="1"/>
                <c:pt idx="0">
                  <c:v>uz 01.01.2007.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lv-LV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'1999_2016'!$AF$4:$AF$13</c:f>
              <c:strCache>
                <c:ptCount val="10"/>
                <c:pt idx="0">
                  <c:v>Kopā</c:v>
                </c:pt>
                <c:pt idx="1">
                  <c:v>benzīns</c:v>
                </c:pt>
                <c:pt idx="2">
                  <c:v>dīzelis</c:v>
                </c:pt>
                <c:pt idx="3">
                  <c:v>gāze*</c:v>
                </c:pt>
                <c:pt idx="4">
                  <c:v>elektrība**</c:v>
                </c:pt>
                <c:pt idx="5">
                  <c:v>Vieglais</c:v>
                </c:pt>
                <c:pt idx="6">
                  <c:v>benzīns</c:v>
                </c:pt>
                <c:pt idx="7">
                  <c:v>dīzelis</c:v>
                </c:pt>
                <c:pt idx="8">
                  <c:v>gāze*</c:v>
                </c:pt>
                <c:pt idx="9">
                  <c:v>elektrība**</c:v>
                </c:pt>
              </c:strCache>
            </c:strRef>
          </c:cat>
          <c:val>
            <c:numRef>
              <c:f>'1999_2016'!$AG$4:$AG$13</c:f>
              <c:numCache>
                <c:formatCode>0.00%</c:formatCode>
                <c:ptCount val="10"/>
                <c:pt idx="1">
                  <c:v>0.70911834121617723</c:v>
                </c:pt>
                <c:pt idx="2">
                  <c:v>0.25872573679514427</c:v>
                </c:pt>
                <c:pt idx="3">
                  <c:v>3.2155921988678483E-2</c:v>
                </c:pt>
                <c:pt idx="4">
                  <c:v>0</c:v>
                </c:pt>
                <c:pt idx="6">
                  <c:v>0.76415765725762796</c:v>
                </c:pt>
                <c:pt idx="7">
                  <c:v>0.20290726036512893</c:v>
                </c:pt>
                <c:pt idx="8">
                  <c:v>3.293508237724313E-2</c:v>
                </c:pt>
                <c:pt idx="9">
                  <c:v>0</c:v>
                </c:pt>
              </c:numCache>
            </c:numRef>
          </c:val>
        </c:ser>
        <c:ser>
          <c:idx val="1"/>
          <c:order val="1"/>
          <c:tx>
            <c:strRef>
              <c:f>'1999_2016'!$AH$3</c:f>
              <c:strCache>
                <c:ptCount val="1"/>
                <c:pt idx="0">
                  <c:v>uz 01.01.2017.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lv-LV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'1999_2016'!$AF$4:$AF$13</c:f>
              <c:strCache>
                <c:ptCount val="10"/>
                <c:pt idx="0">
                  <c:v>Kopā</c:v>
                </c:pt>
                <c:pt idx="1">
                  <c:v>benzīns</c:v>
                </c:pt>
                <c:pt idx="2">
                  <c:v>dīzelis</c:v>
                </c:pt>
                <c:pt idx="3">
                  <c:v>gāze*</c:v>
                </c:pt>
                <c:pt idx="4">
                  <c:v>elektrība**</c:v>
                </c:pt>
                <c:pt idx="5">
                  <c:v>Vieglais</c:v>
                </c:pt>
                <c:pt idx="6">
                  <c:v>benzīns</c:v>
                </c:pt>
                <c:pt idx="7">
                  <c:v>dīzelis</c:v>
                </c:pt>
                <c:pt idx="8">
                  <c:v>gāze*</c:v>
                </c:pt>
                <c:pt idx="9">
                  <c:v>elektrība**</c:v>
                </c:pt>
              </c:strCache>
            </c:strRef>
          </c:cat>
          <c:val>
            <c:numRef>
              <c:f>'1999_2016'!$AH$4:$AH$13</c:f>
              <c:numCache>
                <c:formatCode>0.00%</c:formatCode>
                <c:ptCount val="10"/>
                <c:pt idx="1">
                  <c:v>0.34521874252928519</c:v>
                </c:pt>
                <c:pt idx="2">
                  <c:v>0.58226286291072327</c:v>
                </c:pt>
                <c:pt idx="3">
                  <c:v>7.2147847106011104E-2</c:v>
                </c:pt>
                <c:pt idx="4">
                  <c:v>3.7054745398039683E-4</c:v>
                </c:pt>
                <c:pt idx="6">
                  <c:v>0.38601005454871218</c:v>
                </c:pt>
                <c:pt idx="7">
                  <c:v>0.53456081737247751</c:v>
                </c:pt>
                <c:pt idx="8">
                  <c:v>7.9025621182305314E-2</c:v>
                </c:pt>
                <c:pt idx="9">
                  <c:v>4.0350689650499793E-4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15"/>
        <c:overlap val="-20"/>
        <c:axId val="501451744"/>
        <c:axId val="501455272"/>
      </c:barChart>
      <c:catAx>
        <c:axId val="50145174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lv-LV"/>
          </a:p>
        </c:txPr>
        <c:crossAx val="501455272"/>
        <c:crosses val="autoZero"/>
        <c:auto val="1"/>
        <c:lblAlgn val="ctr"/>
        <c:lblOffset val="100"/>
        <c:noMultiLvlLbl val="0"/>
      </c:catAx>
      <c:valAx>
        <c:axId val="501455272"/>
        <c:scaling>
          <c:orientation val="minMax"/>
        </c:scaling>
        <c:delete val="1"/>
        <c:axPos val="t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crossAx val="5014517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lv-LV"/>
        </a:p>
      </c:txPr>
    </c:legend>
    <c:plotVisOnly val="1"/>
    <c:dispBlanksAs val="gap"/>
    <c:showDLblsOverMax val="0"/>
  </c:chart>
  <c:spPr>
    <a:solidFill>
      <a:schemeClr val="accent3">
        <a:lumMod val="40000"/>
        <a:lumOff val="60000"/>
      </a:schemeClr>
    </a:solidFill>
    <a:ln>
      <a:noFill/>
    </a:ln>
    <a:effectLst/>
  </c:spPr>
  <c:txPr>
    <a:bodyPr/>
    <a:lstStyle/>
    <a:p>
      <a:pPr>
        <a:defRPr>
          <a:solidFill>
            <a:schemeClr val="tx1"/>
          </a:solidFill>
          <a:latin typeface="Times New Roman" panose="02020603050405020304" pitchFamily="18" charset="0"/>
          <a:cs typeface="Times New Roman" panose="02020603050405020304" pitchFamily="18" charset="0"/>
        </a:defRPr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142875</xdr:colOff>
      <xdr:row>36</xdr:row>
      <xdr:rowOff>66675</xdr:rowOff>
    </xdr:from>
    <xdr:to>
      <xdr:col>29</xdr:col>
      <xdr:colOff>0</xdr:colOff>
      <xdr:row>55</xdr:row>
      <xdr:rowOff>0</xdr:rowOff>
    </xdr:to>
    <xdr:sp macro="" textlink="">
      <xdr:nvSpPr>
        <xdr:cNvPr id="2" name="TextBox 1"/>
        <xdr:cNvSpPr txBox="1"/>
      </xdr:nvSpPr>
      <xdr:spPr>
        <a:xfrm>
          <a:off x="8543925" y="5781675"/>
          <a:ext cx="4476750" cy="3219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lv-LV" sz="10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endParaRPr lang="lv-LV" sz="10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r>
            <a:rPr lang="lv-LV" sz="1000">
              <a:latin typeface="Times New Roman" panose="02020603050405020304" pitchFamily="18" charset="0"/>
              <a:cs typeface="Times New Roman" panose="02020603050405020304" pitchFamily="18" charset="0"/>
            </a:rPr>
            <a:t>"gāzes&amp;benzīna" dzinējus sāka reģistrēt no  01.10.1999., veicot transportlīdzeklim tehnisko apskati.</a:t>
          </a:r>
        </a:p>
        <a:p>
          <a:pPr algn="l"/>
          <a:endParaRPr lang="lv-LV" sz="10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r>
            <a:rPr lang="lv-LV" sz="1000">
              <a:latin typeface="Times New Roman" panose="02020603050405020304" pitchFamily="18" charset="0"/>
              <a:cs typeface="Times New Roman" panose="02020603050405020304" pitchFamily="18" charset="0"/>
            </a:rPr>
            <a:t>Ar 30.12.2009. MK noteikumos „Transportlīdzekļu reģistrācijas noteikumi” ieviesta jauna norma – transportlīdzekļu izslēgšana no reģistra. Transportlīdzekli izslēdz no transportlīdzekļu reģistra šādos gadījumos:</a:t>
          </a:r>
        </a:p>
        <a:p>
          <a:pPr algn="l"/>
          <a:endParaRPr lang="lv-LV" sz="10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r>
            <a:rPr lang="lv-LV" sz="1000">
              <a:latin typeface="Times New Roman" panose="02020603050405020304" pitchFamily="18" charset="0"/>
              <a:cs typeface="Times New Roman" panose="02020603050405020304" pitchFamily="18" charset="0"/>
            </a:rPr>
            <a:t>• ja transportlīdzeklis pastāvīgi reģistrēts ārvalstī un šo faktu apliecina informācija attiecīgās ārvalsts reģistrā (ja CSDD ir nodrošināta automatizēta pieeja attiecīgajam reģistram) vai attiecīgās ārvalsts reģistra izsniegts dokuments;</a:t>
          </a:r>
        </a:p>
        <a:p>
          <a:pPr algn="l"/>
          <a:r>
            <a:rPr lang="lv-LV" sz="1000">
              <a:latin typeface="Times New Roman" panose="02020603050405020304" pitchFamily="18" charset="0"/>
              <a:cs typeface="Times New Roman" panose="02020603050405020304" pitchFamily="18" charset="0"/>
            </a:rPr>
            <a:t>• ja transportlīdzeklim piecus gadus nav veikta valsts tehniskā apskate un transportlīdzekļu reģistrā ar šo transportlīdzekli nav veikta neviena reģistrācijas darbība.</a:t>
          </a:r>
        </a:p>
        <a:p>
          <a:pPr algn="l"/>
          <a:endParaRPr lang="lv-LV" sz="10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r>
            <a:rPr lang="lv-LV" sz="1000">
              <a:latin typeface="Times New Roman" panose="02020603050405020304" pitchFamily="18" charset="0"/>
              <a:cs typeface="Times New Roman" panose="02020603050405020304" pitchFamily="18" charset="0"/>
            </a:rPr>
            <a:t>Ar 2016. gada 1.jūliju no transportlīdzekļa reģistra izslēdz tos transportlīdzekļus, kuriem trīs gadus nav veikta valsts tehniskā apskate un transportlīdzekļu reģistrā ar šo transportlīdzekli nav veikta neviena reģistrācijas darbība.</a:t>
          </a:r>
        </a:p>
      </xdr:txBody>
    </xdr:sp>
    <xdr:clientData/>
  </xdr:twoCellAnchor>
  <xdr:twoCellAnchor>
    <xdr:from>
      <xdr:col>20</xdr:col>
      <xdr:colOff>66675</xdr:colOff>
      <xdr:row>2</xdr:row>
      <xdr:rowOff>9525</xdr:rowOff>
    </xdr:from>
    <xdr:to>
      <xdr:col>28</xdr:col>
      <xdr:colOff>742950</xdr:colOff>
      <xdr:row>32</xdr:row>
      <xdr:rowOff>114301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N19" sqref="N19"/>
    </sheetView>
  </sheetViews>
  <sheetFormatPr defaultRowHeight="12.75" x14ac:dyDescent="0.2"/>
  <cols>
    <col min="1" max="1" width="24.7109375" customWidth="1"/>
    <col min="10" max="10" width="1.140625" customWidth="1"/>
  </cols>
  <sheetData>
    <row r="1" spans="1:9" x14ac:dyDescent="0.2">
      <c r="A1" s="70" t="s">
        <v>84</v>
      </c>
    </row>
    <row r="3" spans="1:9" x14ac:dyDescent="0.2">
      <c r="A3" s="84" t="s">
        <v>65</v>
      </c>
      <c r="B3" s="86" t="s">
        <v>0</v>
      </c>
      <c r="C3" s="86"/>
      <c r="D3" s="86" t="s">
        <v>30</v>
      </c>
      <c r="E3" s="86"/>
      <c r="F3" s="86" t="s">
        <v>31</v>
      </c>
      <c r="G3" s="86"/>
      <c r="H3" s="87" t="s">
        <v>18</v>
      </c>
      <c r="I3" s="87"/>
    </row>
    <row r="4" spans="1:9" x14ac:dyDescent="0.2">
      <c r="A4" s="84" t="s">
        <v>66</v>
      </c>
      <c r="B4" s="84" t="s">
        <v>67</v>
      </c>
      <c r="C4" s="84" t="s">
        <v>68</v>
      </c>
      <c r="D4" s="84" t="s">
        <v>67</v>
      </c>
      <c r="E4" s="84" t="s">
        <v>68</v>
      </c>
      <c r="F4" s="84" t="s">
        <v>67</v>
      </c>
      <c r="G4" s="84" t="s">
        <v>68</v>
      </c>
      <c r="H4" s="85" t="s">
        <v>67</v>
      </c>
      <c r="I4" s="85" t="s">
        <v>68</v>
      </c>
    </row>
    <row r="5" spans="1:9" x14ac:dyDescent="0.2">
      <c r="A5" s="38" t="s">
        <v>36</v>
      </c>
      <c r="B5" s="69">
        <v>2674</v>
      </c>
      <c r="C5" s="49">
        <f>B5/92963</f>
        <v>2.8764131966481289E-2</v>
      </c>
      <c r="D5" s="69">
        <v>223409</v>
      </c>
      <c r="E5" s="49">
        <f>D5/741627</f>
        <v>0.30124172933293958</v>
      </c>
      <c r="F5" s="69">
        <v>16</v>
      </c>
      <c r="G5" s="49">
        <f>F5/3908</f>
        <v>4.0941658137154556E-3</v>
      </c>
      <c r="H5" s="44">
        <f>B5+D5+F5</f>
        <v>226099</v>
      </c>
      <c r="I5" s="50">
        <f>H5/838498</f>
        <v>0.26964763183692747</v>
      </c>
    </row>
    <row r="6" spans="1:9" x14ac:dyDescent="0.2">
      <c r="A6" s="38" t="s">
        <v>37</v>
      </c>
      <c r="B6" s="69">
        <v>88722</v>
      </c>
      <c r="C6" s="49">
        <f t="shared" ref="C6:C21" si="0">B6/92963</f>
        <v>0.95437969945031897</v>
      </c>
      <c r="D6" s="69">
        <v>471752</v>
      </c>
      <c r="E6" s="49">
        <f t="shared" ref="E6:E21" si="1">D6/741627</f>
        <v>0.63610413320982107</v>
      </c>
      <c r="F6" s="69">
        <v>3872</v>
      </c>
      <c r="G6" s="49">
        <f t="shared" ref="G6:G21" si="2">F6/3908</f>
        <v>0.9907881269191402</v>
      </c>
      <c r="H6" s="44">
        <f t="shared" ref="H6:H20" si="3">B6+D6+F6</f>
        <v>564346</v>
      </c>
      <c r="I6" s="50">
        <f t="shared" ref="I6:I21" si="4">H6/838498</f>
        <v>0.67304394285973257</v>
      </c>
    </row>
    <row r="7" spans="1:9" x14ac:dyDescent="0.2">
      <c r="A7" s="38" t="s">
        <v>38</v>
      </c>
      <c r="B7" s="69">
        <v>8</v>
      </c>
      <c r="C7" s="49">
        <f t="shared" si="0"/>
        <v>8.6055742607273866E-5</v>
      </c>
      <c r="D7" s="69">
        <v>6</v>
      </c>
      <c r="E7" s="49">
        <f t="shared" si="1"/>
        <v>8.0903203362337137E-6</v>
      </c>
      <c r="F7" s="69">
        <v>0</v>
      </c>
      <c r="G7" s="49">
        <f t="shared" si="2"/>
        <v>0</v>
      </c>
      <c r="H7" s="44">
        <f t="shared" si="3"/>
        <v>14</v>
      </c>
      <c r="I7" s="50">
        <f t="shared" si="4"/>
        <v>1.6696521637499435E-5</v>
      </c>
    </row>
    <row r="8" spans="1:9" x14ac:dyDescent="0.2">
      <c r="A8" s="38" t="s">
        <v>39</v>
      </c>
      <c r="B8" s="69">
        <v>0</v>
      </c>
      <c r="C8" s="49">
        <f t="shared" si="0"/>
        <v>0</v>
      </c>
      <c r="D8" s="69">
        <v>230</v>
      </c>
      <c r="E8" s="49">
        <f t="shared" si="1"/>
        <v>3.1012894622229232E-4</v>
      </c>
      <c r="F8" s="69">
        <v>0</v>
      </c>
      <c r="G8" s="49">
        <f t="shared" si="2"/>
        <v>0</v>
      </c>
      <c r="H8" s="44">
        <f t="shared" si="3"/>
        <v>230</v>
      </c>
      <c r="I8" s="50">
        <f t="shared" si="4"/>
        <v>2.7429999833034784E-4</v>
      </c>
    </row>
    <row r="9" spans="1:9" x14ac:dyDescent="0.2">
      <c r="A9" s="38" t="s">
        <v>40</v>
      </c>
      <c r="B9" s="69">
        <v>0</v>
      </c>
      <c r="C9" s="49">
        <f t="shared" si="0"/>
        <v>0</v>
      </c>
      <c r="D9" s="69">
        <v>62</v>
      </c>
      <c r="E9" s="49">
        <f t="shared" si="1"/>
        <v>8.3599976807748373E-5</v>
      </c>
      <c r="F9" s="69">
        <v>0</v>
      </c>
      <c r="G9" s="49">
        <f t="shared" si="2"/>
        <v>0</v>
      </c>
      <c r="H9" s="44">
        <f t="shared" si="3"/>
        <v>62</v>
      </c>
      <c r="I9" s="50">
        <f t="shared" si="4"/>
        <v>7.3941738680354639E-5</v>
      </c>
    </row>
    <row r="10" spans="1:9" x14ac:dyDescent="0.2">
      <c r="A10" s="38" t="s">
        <v>41</v>
      </c>
      <c r="B10" s="69">
        <v>35</v>
      </c>
      <c r="C10" s="49">
        <f t="shared" si="0"/>
        <v>3.7649387390682314E-4</v>
      </c>
      <c r="D10" s="69">
        <v>1349</v>
      </c>
      <c r="E10" s="49">
        <f t="shared" si="1"/>
        <v>1.8189736889298799E-3</v>
      </c>
      <c r="F10" s="69">
        <v>8</v>
      </c>
      <c r="G10" s="49">
        <f t="shared" si="2"/>
        <v>2.0470829068577278E-3</v>
      </c>
      <c r="H10" s="44">
        <f t="shared" si="3"/>
        <v>1392</v>
      </c>
      <c r="I10" s="50">
        <f t="shared" si="4"/>
        <v>1.6601112942428008E-3</v>
      </c>
    </row>
    <row r="11" spans="1:9" x14ac:dyDescent="0.2">
      <c r="A11" s="38" t="s">
        <v>42</v>
      </c>
      <c r="B11" s="81">
        <v>0</v>
      </c>
      <c r="C11" s="49">
        <f t="shared" si="0"/>
        <v>0</v>
      </c>
      <c r="D11" s="69">
        <v>0</v>
      </c>
      <c r="E11" s="49">
        <f t="shared" si="1"/>
        <v>0</v>
      </c>
      <c r="F11" s="69">
        <v>0</v>
      </c>
      <c r="G11" s="49">
        <f t="shared" si="2"/>
        <v>0</v>
      </c>
      <c r="H11" s="44">
        <f t="shared" si="3"/>
        <v>0</v>
      </c>
      <c r="I11" s="50">
        <f t="shared" si="4"/>
        <v>0</v>
      </c>
    </row>
    <row r="12" spans="1:9" x14ac:dyDescent="0.2">
      <c r="A12" s="38" t="s">
        <v>43</v>
      </c>
      <c r="B12" s="69">
        <v>778</v>
      </c>
      <c r="C12" s="49">
        <f t="shared" si="0"/>
        <v>8.3689209685573838E-3</v>
      </c>
      <c r="D12" s="69">
        <v>23119</v>
      </c>
      <c r="E12" s="49">
        <f t="shared" si="1"/>
        <v>3.1173352642231204E-2</v>
      </c>
      <c r="F12" s="69">
        <v>4</v>
      </c>
      <c r="G12" s="49">
        <f t="shared" si="2"/>
        <v>1.0235414534288639E-3</v>
      </c>
      <c r="H12" s="44">
        <f t="shared" si="3"/>
        <v>23901</v>
      </c>
      <c r="I12" s="50">
        <f t="shared" si="4"/>
        <v>2.850454026127671E-2</v>
      </c>
    </row>
    <row r="13" spans="1:9" x14ac:dyDescent="0.2">
      <c r="A13" s="38" t="s">
        <v>44</v>
      </c>
      <c r="B13" s="69">
        <v>9</v>
      </c>
      <c r="C13" s="49">
        <f t="shared" si="0"/>
        <v>9.6812710433183088E-5</v>
      </c>
      <c r="D13" s="69">
        <v>3</v>
      </c>
      <c r="E13" s="49">
        <f t="shared" si="1"/>
        <v>4.0451601681168568E-6</v>
      </c>
      <c r="F13" s="69">
        <v>0</v>
      </c>
      <c r="G13" s="49">
        <f t="shared" si="2"/>
        <v>0</v>
      </c>
      <c r="H13" s="44">
        <f t="shared" si="3"/>
        <v>12</v>
      </c>
      <c r="I13" s="50">
        <f t="shared" si="4"/>
        <v>1.4311304260713801E-5</v>
      </c>
    </row>
    <row r="14" spans="1:9" x14ac:dyDescent="0.2">
      <c r="A14" s="38" t="s">
        <v>45</v>
      </c>
      <c r="B14" s="69">
        <v>575</v>
      </c>
      <c r="C14" s="49">
        <f t="shared" si="0"/>
        <v>6.185256499897809E-3</v>
      </c>
      <c r="D14" s="69">
        <v>21352</v>
      </c>
      <c r="E14" s="49">
        <f t="shared" si="1"/>
        <v>2.8790753303210372E-2</v>
      </c>
      <c r="F14" s="69">
        <v>1</v>
      </c>
      <c r="G14" s="49">
        <f t="shared" si="2"/>
        <v>2.5588536335721597E-4</v>
      </c>
      <c r="H14" s="44">
        <f t="shared" si="3"/>
        <v>21928</v>
      </c>
      <c r="I14" s="50">
        <f t="shared" si="4"/>
        <v>2.6151523319077684E-2</v>
      </c>
    </row>
    <row r="15" spans="1:9" x14ac:dyDescent="0.2">
      <c r="A15" s="38" t="s">
        <v>46</v>
      </c>
      <c r="B15" s="69">
        <v>15</v>
      </c>
      <c r="C15" s="49">
        <f t="shared" si="0"/>
        <v>1.613545173886385E-4</v>
      </c>
      <c r="D15" s="69">
        <v>206</v>
      </c>
      <c r="E15" s="49">
        <f t="shared" si="1"/>
        <v>2.7776766487735749E-4</v>
      </c>
      <c r="F15" s="69">
        <v>0</v>
      </c>
      <c r="G15" s="49">
        <f t="shared" si="2"/>
        <v>0</v>
      </c>
      <c r="H15" s="44">
        <f t="shared" si="3"/>
        <v>221</v>
      </c>
      <c r="I15" s="50">
        <f t="shared" si="4"/>
        <v>2.6356652013481246E-4</v>
      </c>
    </row>
    <row r="16" spans="1:9" x14ac:dyDescent="0.2">
      <c r="A16" s="38" t="s">
        <v>47</v>
      </c>
      <c r="B16" s="69">
        <v>9</v>
      </c>
      <c r="C16" s="49">
        <f t="shared" si="0"/>
        <v>9.6812710433183088E-5</v>
      </c>
      <c r="D16" s="69">
        <v>2</v>
      </c>
      <c r="E16" s="49">
        <f t="shared" si="1"/>
        <v>2.6967734454112378E-6</v>
      </c>
      <c r="F16" s="69">
        <v>0</v>
      </c>
      <c r="G16" s="49">
        <f t="shared" si="2"/>
        <v>0</v>
      </c>
      <c r="H16" s="44">
        <f t="shared" si="3"/>
        <v>11</v>
      </c>
      <c r="I16" s="50">
        <f t="shared" si="4"/>
        <v>1.3118695572320984E-5</v>
      </c>
    </row>
    <row r="17" spans="1:9" x14ac:dyDescent="0.2">
      <c r="A17" s="38" t="s">
        <v>48</v>
      </c>
      <c r="B17" s="69">
        <v>2</v>
      </c>
      <c r="C17" s="49">
        <f t="shared" si="0"/>
        <v>2.1513935651818467E-5</v>
      </c>
      <c r="D17" s="69">
        <v>0</v>
      </c>
      <c r="E17" s="49">
        <f t="shared" si="1"/>
        <v>0</v>
      </c>
      <c r="F17" s="69">
        <v>0</v>
      </c>
      <c r="G17" s="49">
        <f t="shared" si="2"/>
        <v>0</v>
      </c>
      <c r="H17" s="44">
        <f t="shared" si="3"/>
        <v>2</v>
      </c>
      <c r="I17" s="50">
        <f t="shared" si="4"/>
        <v>2.3852173767856332E-6</v>
      </c>
    </row>
    <row r="18" spans="1:9" x14ac:dyDescent="0.2">
      <c r="A18" s="38" t="s">
        <v>49</v>
      </c>
      <c r="B18" s="69">
        <v>16</v>
      </c>
      <c r="C18" s="49">
        <f t="shared" si="0"/>
        <v>1.7211148521454773E-4</v>
      </c>
      <c r="D18" s="69">
        <v>11</v>
      </c>
      <c r="E18" s="49">
        <f t="shared" si="1"/>
        <v>1.4832253949761808E-5</v>
      </c>
      <c r="F18" s="69">
        <v>0</v>
      </c>
      <c r="G18" s="49">
        <f t="shared" si="2"/>
        <v>0</v>
      </c>
      <c r="H18" s="44">
        <f t="shared" si="3"/>
        <v>27</v>
      </c>
      <c r="I18" s="50">
        <f t="shared" si="4"/>
        <v>3.2200434586606051E-5</v>
      </c>
    </row>
    <row r="19" spans="1:9" x14ac:dyDescent="0.2">
      <c r="A19" s="38" t="s">
        <v>50</v>
      </c>
      <c r="B19" s="69">
        <v>105</v>
      </c>
      <c r="C19" s="49">
        <f t="shared" si="0"/>
        <v>1.1294816217204695E-3</v>
      </c>
      <c r="D19" s="69">
        <v>111</v>
      </c>
      <c r="E19" s="49">
        <f t="shared" si="1"/>
        <v>1.4967092622032369E-4</v>
      </c>
      <c r="F19" s="69">
        <v>7</v>
      </c>
      <c r="G19" s="49">
        <f t="shared" si="2"/>
        <v>1.7911975435005118E-3</v>
      </c>
      <c r="H19" s="44">
        <f t="shared" si="3"/>
        <v>223</v>
      </c>
      <c r="I19" s="50">
        <f t="shared" si="4"/>
        <v>2.6595173751159813E-4</v>
      </c>
    </row>
    <row r="20" spans="1:9" x14ac:dyDescent="0.2">
      <c r="A20" s="38" t="s">
        <v>51</v>
      </c>
      <c r="B20" s="69">
        <v>15</v>
      </c>
      <c r="C20" s="49">
        <f t="shared" si="0"/>
        <v>1.613545173886385E-4</v>
      </c>
      <c r="D20" s="69">
        <v>15</v>
      </c>
      <c r="E20" s="49">
        <f t="shared" si="1"/>
        <v>2.0225800840584284E-5</v>
      </c>
      <c r="F20" s="69">
        <v>0</v>
      </c>
      <c r="G20" s="49">
        <f t="shared" si="2"/>
        <v>0</v>
      </c>
      <c r="H20" s="44">
        <f t="shared" si="3"/>
        <v>30</v>
      </c>
      <c r="I20" s="50">
        <f t="shared" si="4"/>
        <v>3.5778260651784501E-5</v>
      </c>
    </row>
    <row r="21" spans="1:9" x14ac:dyDescent="0.2">
      <c r="A21" s="44" t="s">
        <v>18</v>
      </c>
      <c r="B21" s="44">
        <f>SUM(B5:B20)</f>
        <v>92963</v>
      </c>
      <c r="C21" s="50">
        <f t="shared" si="0"/>
        <v>1</v>
      </c>
      <c r="D21" s="44">
        <f>SUM(D5:D20)</f>
        <v>741627</v>
      </c>
      <c r="E21" s="50">
        <f t="shared" si="1"/>
        <v>1</v>
      </c>
      <c r="F21" s="44">
        <f>SUM(F5:F20)</f>
        <v>3908</v>
      </c>
      <c r="G21" s="50">
        <f t="shared" si="2"/>
        <v>1</v>
      </c>
      <c r="H21" s="44">
        <f>SUM(H5:H20)</f>
        <v>838498</v>
      </c>
      <c r="I21" s="50">
        <f t="shared" si="4"/>
        <v>1</v>
      </c>
    </row>
  </sheetData>
  <mergeCells count="4">
    <mergeCell ref="B3:C3"/>
    <mergeCell ref="D3:E3"/>
    <mergeCell ref="F3:G3"/>
    <mergeCell ref="H3:I3"/>
  </mergeCells>
  <pageMargins left="0.39370078740157483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"/>
  <sheetViews>
    <sheetView workbookViewId="0">
      <selection activeCell="R19" sqref="R19"/>
    </sheetView>
  </sheetViews>
  <sheetFormatPr defaultRowHeight="12.75" x14ac:dyDescent="0.2"/>
  <cols>
    <col min="1" max="1" width="23.42578125" customWidth="1"/>
    <col min="10" max="10" width="2.42578125" customWidth="1"/>
  </cols>
  <sheetData>
    <row r="1" spans="1:9" x14ac:dyDescent="0.2">
      <c r="A1" s="70" t="s">
        <v>83</v>
      </c>
    </row>
    <row r="3" spans="1:9" x14ac:dyDescent="0.2">
      <c r="A3" s="82" t="s">
        <v>65</v>
      </c>
      <c r="B3" s="86" t="s">
        <v>0</v>
      </c>
      <c r="C3" s="86"/>
      <c r="D3" s="86" t="s">
        <v>30</v>
      </c>
      <c r="E3" s="86"/>
      <c r="F3" s="86" t="s">
        <v>31</v>
      </c>
      <c r="G3" s="86"/>
      <c r="H3" s="87" t="s">
        <v>18</v>
      </c>
      <c r="I3" s="87"/>
    </row>
    <row r="4" spans="1:9" x14ac:dyDescent="0.2">
      <c r="A4" s="82" t="s">
        <v>66</v>
      </c>
      <c r="B4" s="82" t="s">
        <v>67</v>
      </c>
      <c r="C4" s="82" t="s">
        <v>68</v>
      </c>
      <c r="D4" s="82" t="s">
        <v>67</v>
      </c>
      <c r="E4" s="82" t="s">
        <v>68</v>
      </c>
      <c r="F4" s="82" t="s">
        <v>67</v>
      </c>
      <c r="G4" s="82" t="s">
        <v>68</v>
      </c>
      <c r="H4" s="83" t="s">
        <v>67</v>
      </c>
      <c r="I4" s="83" t="s">
        <v>68</v>
      </c>
    </row>
    <row r="5" spans="1:9" x14ac:dyDescent="0.2">
      <c r="A5" s="38" t="s">
        <v>36</v>
      </c>
      <c r="B5" s="69">
        <v>2694</v>
      </c>
      <c r="C5" s="49">
        <f>B5/92499</f>
        <v>2.912463918528849E-2</v>
      </c>
      <c r="D5" s="69">
        <v>223989</v>
      </c>
      <c r="E5" s="49">
        <f>D5/739124</f>
        <v>0.30304657946433888</v>
      </c>
      <c r="F5" s="69">
        <v>18</v>
      </c>
      <c r="G5" s="49">
        <f>F5/4105</f>
        <v>4.3848964677222898E-3</v>
      </c>
      <c r="H5" s="44">
        <f>B5+D5+F5</f>
        <v>226701</v>
      </c>
      <c r="I5" s="50">
        <f>H5/835728</f>
        <v>0.27126170237206365</v>
      </c>
    </row>
    <row r="6" spans="1:9" x14ac:dyDescent="0.2">
      <c r="A6" s="38" t="s">
        <v>37</v>
      </c>
      <c r="B6" s="69">
        <v>88219</v>
      </c>
      <c r="C6" s="49">
        <f t="shared" ref="C6:C21" si="0">B6/92499</f>
        <v>0.9537292295051838</v>
      </c>
      <c r="D6" s="69">
        <v>468130</v>
      </c>
      <c r="E6" s="49">
        <f t="shared" ref="E6:E21" si="1">D6/739124</f>
        <v>0.63335786688025286</v>
      </c>
      <c r="F6" s="69">
        <v>4066</v>
      </c>
      <c r="G6" s="49">
        <f t="shared" ref="G6:G21" si="2">F6/4105</f>
        <v>0.99049939098660167</v>
      </c>
      <c r="H6" s="44">
        <f t="shared" ref="H6:H20" si="3">B6+D6+F6</f>
        <v>560415</v>
      </c>
      <c r="I6" s="50">
        <f t="shared" ref="I6:I21" si="4">H6/835728</f>
        <v>0.6705710470392281</v>
      </c>
    </row>
    <row r="7" spans="1:9" x14ac:dyDescent="0.2">
      <c r="A7" s="38" t="s">
        <v>38</v>
      </c>
      <c r="B7" s="69">
        <v>8</v>
      </c>
      <c r="C7" s="49">
        <f t="shared" si="0"/>
        <v>8.6487421485637679E-5</v>
      </c>
      <c r="D7" s="69">
        <v>6</v>
      </c>
      <c r="E7" s="49">
        <f t="shared" si="1"/>
        <v>8.1177177307190674E-6</v>
      </c>
      <c r="F7" s="69">
        <v>0</v>
      </c>
      <c r="G7" s="49">
        <f t="shared" si="2"/>
        <v>0</v>
      </c>
      <c r="H7" s="44">
        <f t="shared" si="3"/>
        <v>14</v>
      </c>
      <c r="I7" s="50">
        <f t="shared" si="4"/>
        <v>1.6751861849788448E-5</v>
      </c>
    </row>
    <row r="8" spans="1:9" x14ac:dyDescent="0.2">
      <c r="A8" s="38" t="s">
        <v>39</v>
      </c>
      <c r="B8" s="69">
        <v>0</v>
      </c>
      <c r="C8" s="49">
        <f t="shared" si="0"/>
        <v>0</v>
      </c>
      <c r="D8" s="69">
        <v>194</v>
      </c>
      <c r="E8" s="49">
        <f t="shared" si="1"/>
        <v>2.6247287329324987E-4</v>
      </c>
      <c r="F8" s="69">
        <v>0</v>
      </c>
      <c r="G8" s="49">
        <f t="shared" si="2"/>
        <v>0</v>
      </c>
      <c r="H8" s="44">
        <f t="shared" si="3"/>
        <v>194</v>
      </c>
      <c r="I8" s="50">
        <f t="shared" si="4"/>
        <v>2.3213294277563991E-4</v>
      </c>
    </row>
    <row r="9" spans="1:9" x14ac:dyDescent="0.2">
      <c r="A9" s="38" t="s">
        <v>40</v>
      </c>
      <c r="B9" s="69">
        <v>0</v>
      </c>
      <c r="C9" s="49">
        <f t="shared" si="0"/>
        <v>0</v>
      </c>
      <c r="D9" s="69">
        <v>50</v>
      </c>
      <c r="E9" s="49">
        <f t="shared" si="1"/>
        <v>6.7647647755992235E-5</v>
      </c>
      <c r="F9" s="69">
        <v>0</v>
      </c>
      <c r="G9" s="49">
        <f t="shared" si="2"/>
        <v>0</v>
      </c>
      <c r="H9" s="44">
        <f t="shared" si="3"/>
        <v>50</v>
      </c>
      <c r="I9" s="50">
        <f t="shared" si="4"/>
        <v>5.9828078034958741E-5</v>
      </c>
    </row>
    <row r="10" spans="1:9" x14ac:dyDescent="0.2">
      <c r="A10" s="38" t="s">
        <v>41</v>
      </c>
      <c r="B10" s="69">
        <v>35</v>
      </c>
      <c r="C10" s="49">
        <f t="shared" si="0"/>
        <v>3.7838246899966487E-4</v>
      </c>
      <c r="D10" s="69">
        <v>1205</v>
      </c>
      <c r="E10" s="49">
        <f t="shared" si="1"/>
        <v>1.6303083109194126E-3</v>
      </c>
      <c r="F10" s="69">
        <v>8</v>
      </c>
      <c r="G10" s="49">
        <f t="shared" si="2"/>
        <v>1.94884287454324E-3</v>
      </c>
      <c r="H10" s="44">
        <f t="shared" si="3"/>
        <v>1248</v>
      </c>
      <c r="I10" s="50">
        <f t="shared" si="4"/>
        <v>1.4933088277525703E-3</v>
      </c>
    </row>
    <row r="11" spans="1:9" x14ac:dyDescent="0.2">
      <c r="A11" s="38" t="s">
        <v>42</v>
      </c>
      <c r="B11" s="81">
        <v>0</v>
      </c>
      <c r="C11" s="49">
        <f t="shared" si="0"/>
        <v>0</v>
      </c>
      <c r="D11" s="69">
        <v>0</v>
      </c>
      <c r="E11" s="49">
        <f t="shared" si="1"/>
        <v>0</v>
      </c>
      <c r="F11" s="69">
        <v>0</v>
      </c>
      <c r="G11" s="49">
        <f t="shared" si="2"/>
        <v>0</v>
      </c>
      <c r="H11" s="44">
        <f t="shared" si="3"/>
        <v>0</v>
      </c>
      <c r="I11" s="50">
        <f t="shared" si="4"/>
        <v>0</v>
      </c>
    </row>
    <row r="12" spans="1:9" x14ac:dyDescent="0.2">
      <c r="A12" s="38" t="s">
        <v>43</v>
      </c>
      <c r="B12" s="69">
        <v>804</v>
      </c>
      <c r="C12" s="49">
        <f t="shared" si="0"/>
        <v>8.691985859306587E-3</v>
      </c>
      <c r="D12" s="69">
        <v>23852</v>
      </c>
      <c r="E12" s="49">
        <f t="shared" si="1"/>
        <v>3.2270633885518533E-2</v>
      </c>
      <c r="F12" s="69">
        <v>4</v>
      </c>
      <c r="G12" s="49">
        <f t="shared" si="2"/>
        <v>9.7442143727162001E-4</v>
      </c>
      <c r="H12" s="44">
        <f t="shared" si="3"/>
        <v>24660</v>
      </c>
      <c r="I12" s="50">
        <f t="shared" si="4"/>
        <v>2.9507208086841652E-2</v>
      </c>
    </row>
    <row r="13" spans="1:9" x14ac:dyDescent="0.2">
      <c r="A13" s="38" t="s">
        <v>44</v>
      </c>
      <c r="B13" s="69">
        <v>9</v>
      </c>
      <c r="C13" s="49">
        <f t="shared" si="0"/>
        <v>9.7298349171342396E-5</v>
      </c>
      <c r="D13" s="69">
        <v>3</v>
      </c>
      <c r="E13" s="49">
        <f t="shared" si="1"/>
        <v>4.0588588653595337E-6</v>
      </c>
      <c r="F13" s="69">
        <v>0</v>
      </c>
      <c r="G13" s="49">
        <f t="shared" si="2"/>
        <v>0</v>
      </c>
      <c r="H13" s="44">
        <f t="shared" si="3"/>
        <v>12</v>
      </c>
      <c r="I13" s="50">
        <f t="shared" si="4"/>
        <v>1.4358738728390099E-5</v>
      </c>
    </row>
    <row r="14" spans="1:9" x14ac:dyDescent="0.2">
      <c r="A14" s="38" t="s">
        <v>45</v>
      </c>
      <c r="B14" s="69">
        <v>583</v>
      </c>
      <c r="C14" s="49">
        <f t="shared" si="0"/>
        <v>6.3027708407658459E-3</v>
      </c>
      <c r="D14" s="69">
        <v>21375</v>
      </c>
      <c r="E14" s="49">
        <f t="shared" si="1"/>
        <v>2.8919369415686676E-2</v>
      </c>
      <c r="F14" s="69">
        <v>2</v>
      </c>
      <c r="G14" s="49">
        <f t="shared" si="2"/>
        <v>4.8721071863581E-4</v>
      </c>
      <c r="H14" s="44">
        <f t="shared" si="3"/>
        <v>21960</v>
      </c>
      <c r="I14" s="50">
        <f t="shared" si="4"/>
        <v>2.6276491872953878E-2</v>
      </c>
    </row>
    <row r="15" spans="1:9" x14ac:dyDescent="0.2">
      <c r="A15" s="38" t="s">
        <v>46</v>
      </c>
      <c r="B15" s="69">
        <v>16</v>
      </c>
      <c r="C15" s="49">
        <f t="shared" si="0"/>
        <v>1.7297484297127536E-4</v>
      </c>
      <c r="D15" s="69">
        <v>193</v>
      </c>
      <c r="E15" s="49">
        <f t="shared" si="1"/>
        <v>2.6111992033813001E-4</v>
      </c>
      <c r="F15" s="69">
        <v>0</v>
      </c>
      <c r="G15" s="49">
        <f t="shared" si="2"/>
        <v>0</v>
      </c>
      <c r="H15" s="44">
        <f t="shared" si="3"/>
        <v>209</v>
      </c>
      <c r="I15" s="50">
        <f t="shared" si="4"/>
        <v>2.5008136618612757E-4</v>
      </c>
    </row>
    <row r="16" spans="1:9" x14ac:dyDescent="0.2">
      <c r="A16" s="38" t="s">
        <v>47</v>
      </c>
      <c r="B16" s="69">
        <v>10</v>
      </c>
      <c r="C16" s="49">
        <f t="shared" si="0"/>
        <v>1.081092768570471E-4</v>
      </c>
      <c r="D16" s="69">
        <v>1</v>
      </c>
      <c r="E16" s="49">
        <f t="shared" si="1"/>
        <v>1.3529529551198445E-6</v>
      </c>
      <c r="F16" s="69">
        <v>0</v>
      </c>
      <c r="G16" s="49">
        <f t="shared" si="2"/>
        <v>0</v>
      </c>
      <c r="H16" s="44">
        <f t="shared" si="3"/>
        <v>11</v>
      </c>
      <c r="I16" s="50">
        <f t="shared" si="4"/>
        <v>1.3162177167690924E-5</v>
      </c>
    </row>
    <row r="17" spans="1:9" x14ac:dyDescent="0.2">
      <c r="A17" s="38" t="s">
        <v>48</v>
      </c>
      <c r="B17" s="69">
        <v>2</v>
      </c>
      <c r="C17" s="49">
        <f t="shared" si="0"/>
        <v>2.162185537140942E-5</v>
      </c>
      <c r="D17" s="69">
        <v>0</v>
      </c>
      <c r="E17" s="49">
        <f t="shared" si="1"/>
        <v>0</v>
      </c>
      <c r="F17" s="69">
        <v>0</v>
      </c>
      <c r="G17" s="49">
        <f t="shared" si="2"/>
        <v>0</v>
      </c>
      <c r="H17" s="44">
        <f t="shared" si="3"/>
        <v>2</v>
      </c>
      <c r="I17" s="50">
        <f t="shared" si="4"/>
        <v>2.3931231213983498E-6</v>
      </c>
    </row>
    <row r="18" spans="1:9" x14ac:dyDescent="0.2">
      <c r="A18" s="38" t="s">
        <v>49</v>
      </c>
      <c r="B18" s="69">
        <v>16</v>
      </c>
      <c r="C18" s="49">
        <f t="shared" si="0"/>
        <v>1.7297484297127536E-4</v>
      </c>
      <c r="D18" s="69">
        <v>11</v>
      </c>
      <c r="E18" s="49">
        <f t="shared" si="1"/>
        <v>1.4882482506318291E-5</v>
      </c>
      <c r="F18" s="69">
        <v>0</v>
      </c>
      <c r="G18" s="49">
        <f t="shared" si="2"/>
        <v>0</v>
      </c>
      <c r="H18" s="44">
        <f t="shared" si="3"/>
        <v>27</v>
      </c>
      <c r="I18" s="50">
        <f t="shared" si="4"/>
        <v>3.2307162138877724E-5</v>
      </c>
    </row>
    <row r="19" spans="1:9" x14ac:dyDescent="0.2">
      <c r="A19" s="38" t="s">
        <v>50</v>
      </c>
      <c r="B19" s="69">
        <v>88</v>
      </c>
      <c r="C19" s="49">
        <f t="shared" si="0"/>
        <v>9.5136163634201452E-4</v>
      </c>
      <c r="D19" s="69">
        <v>101</v>
      </c>
      <c r="E19" s="49">
        <f t="shared" si="1"/>
        <v>1.366482484671043E-4</v>
      </c>
      <c r="F19" s="69">
        <v>7</v>
      </c>
      <c r="G19" s="49">
        <f t="shared" si="2"/>
        <v>1.7052375152253349E-3</v>
      </c>
      <c r="H19" s="44">
        <f t="shared" si="3"/>
        <v>196</v>
      </c>
      <c r="I19" s="50">
        <f t="shared" si="4"/>
        <v>2.3452606589703827E-4</v>
      </c>
    </row>
    <row r="20" spans="1:9" x14ac:dyDescent="0.2">
      <c r="A20" s="38" t="s">
        <v>51</v>
      </c>
      <c r="B20" s="69">
        <v>15</v>
      </c>
      <c r="C20" s="49">
        <f t="shared" si="0"/>
        <v>1.6216391528557064E-4</v>
      </c>
      <c r="D20" s="69">
        <v>14</v>
      </c>
      <c r="E20" s="49">
        <f t="shared" si="1"/>
        <v>1.8941341371677823E-5</v>
      </c>
      <c r="F20" s="69">
        <v>0</v>
      </c>
      <c r="G20" s="49">
        <f t="shared" si="2"/>
        <v>0</v>
      </c>
      <c r="H20" s="44">
        <f t="shared" si="3"/>
        <v>29</v>
      </c>
      <c r="I20" s="50">
        <f t="shared" si="4"/>
        <v>3.470028526027607E-5</v>
      </c>
    </row>
    <row r="21" spans="1:9" x14ac:dyDescent="0.2">
      <c r="A21" s="44" t="s">
        <v>18</v>
      </c>
      <c r="B21" s="44">
        <f>SUM(B5:B20)</f>
        <v>92499</v>
      </c>
      <c r="C21" s="50">
        <f t="shared" si="0"/>
        <v>1</v>
      </c>
      <c r="D21" s="44">
        <f>SUM(D5:D20)</f>
        <v>739124</v>
      </c>
      <c r="E21" s="50">
        <f t="shared" si="1"/>
        <v>1</v>
      </c>
      <c r="F21" s="44">
        <f>SUM(F5:F20)</f>
        <v>4105</v>
      </c>
      <c r="G21" s="50">
        <f t="shared" si="2"/>
        <v>1</v>
      </c>
      <c r="H21" s="44">
        <f>SUM(H5:H20)</f>
        <v>835728</v>
      </c>
      <c r="I21" s="50">
        <f t="shared" si="4"/>
        <v>1</v>
      </c>
    </row>
    <row r="24" spans="1:9" x14ac:dyDescent="0.2">
      <c r="A24" s="70" t="s">
        <v>82</v>
      </c>
      <c r="B24" s="81"/>
      <c r="C24" s="81"/>
      <c r="D24" s="81"/>
      <c r="E24" s="81"/>
      <c r="F24" s="81"/>
      <c r="G24" s="81"/>
      <c r="H24" s="81"/>
      <c r="I24" s="81"/>
    </row>
    <row r="25" spans="1:9" x14ac:dyDescent="0.2">
      <c r="A25" s="81"/>
      <c r="B25" s="81"/>
      <c r="C25" s="81"/>
      <c r="D25" s="81"/>
      <c r="E25" s="81"/>
      <c r="F25" s="81"/>
      <c r="G25" s="81"/>
      <c r="H25" s="81"/>
      <c r="I25" s="81"/>
    </row>
    <row r="26" spans="1:9" x14ac:dyDescent="0.2">
      <c r="A26" s="79" t="s">
        <v>65</v>
      </c>
      <c r="B26" s="86" t="s">
        <v>0</v>
      </c>
      <c r="C26" s="86"/>
      <c r="D26" s="86" t="s">
        <v>30</v>
      </c>
      <c r="E26" s="86"/>
      <c r="F26" s="86" t="s">
        <v>31</v>
      </c>
      <c r="G26" s="86"/>
      <c r="H26" s="87" t="s">
        <v>18</v>
      </c>
      <c r="I26" s="87"/>
    </row>
    <row r="27" spans="1:9" x14ac:dyDescent="0.2">
      <c r="A27" s="79" t="s">
        <v>66</v>
      </c>
      <c r="B27" s="79" t="s">
        <v>67</v>
      </c>
      <c r="C27" s="79" t="s">
        <v>68</v>
      </c>
      <c r="D27" s="79" t="s">
        <v>67</v>
      </c>
      <c r="E27" s="79" t="s">
        <v>68</v>
      </c>
      <c r="F27" s="79" t="s">
        <v>67</v>
      </c>
      <c r="G27" s="79" t="s">
        <v>68</v>
      </c>
      <c r="H27" s="80" t="s">
        <v>67</v>
      </c>
      <c r="I27" s="80" t="s">
        <v>68</v>
      </c>
    </row>
    <row r="28" spans="1:9" x14ac:dyDescent="0.2">
      <c r="A28" s="38" t="s">
        <v>36</v>
      </c>
      <c r="B28" s="69">
        <v>2761</v>
      </c>
      <c r="C28" s="49">
        <f>B28/93229</f>
        <v>2.9615248474187218E-2</v>
      </c>
      <c r="D28" s="69">
        <v>227639</v>
      </c>
      <c r="E28" s="49">
        <f>D28/741292</f>
        <v>0.30708411799938484</v>
      </c>
      <c r="F28" s="69">
        <v>21</v>
      </c>
      <c r="G28" s="49">
        <f>F28/4312</f>
        <v>4.87012987012987E-3</v>
      </c>
      <c r="H28" s="44">
        <f>B28+D28+F28</f>
        <v>230421</v>
      </c>
      <c r="I28" s="50">
        <f>H28/838833</f>
        <v>0.27469234043009755</v>
      </c>
    </row>
    <row r="29" spans="1:9" x14ac:dyDescent="0.2">
      <c r="A29" s="38" t="s">
        <v>37</v>
      </c>
      <c r="B29" s="69">
        <v>88850</v>
      </c>
      <c r="C29" s="49">
        <f t="shared" ref="C29:C44" si="5">B29/93229</f>
        <v>0.95302963670102647</v>
      </c>
      <c r="D29" s="69">
        <v>465694</v>
      </c>
      <c r="E29" s="49">
        <f t="shared" ref="E29:E44" si="6">D29/741292</f>
        <v>0.62821937913804549</v>
      </c>
      <c r="F29" s="69">
        <v>4270</v>
      </c>
      <c r="G29" s="49">
        <f t="shared" ref="G29:G44" si="7">F29/4312</f>
        <v>0.99025974025974028</v>
      </c>
      <c r="H29" s="44">
        <f t="shared" ref="H29:H43" si="8">B29+D29+F29</f>
        <v>558814</v>
      </c>
      <c r="I29" s="50">
        <f t="shared" ref="I29:I44" si="9">H29/838833</f>
        <v>0.66618027664624546</v>
      </c>
    </row>
    <row r="30" spans="1:9" x14ac:dyDescent="0.2">
      <c r="A30" s="38" t="s">
        <v>38</v>
      </c>
      <c r="B30" s="69">
        <v>9</v>
      </c>
      <c r="C30" s="49">
        <f t="shared" si="5"/>
        <v>9.6536485428353844E-5</v>
      </c>
      <c r="D30" s="69">
        <v>6</v>
      </c>
      <c r="E30" s="49">
        <f t="shared" si="6"/>
        <v>8.093976462716447E-6</v>
      </c>
      <c r="F30" s="69">
        <v>0</v>
      </c>
      <c r="G30" s="49">
        <f t="shared" si="7"/>
        <v>0</v>
      </c>
      <c r="H30" s="44">
        <f t="shared" si="8"/>
        <v>15</v>
      </c>
      <c r="I30" s="50">
        <f t="shared" si="9"/>
        <v>1.788198604489809E-5</v>
      </c>
    </row>
    <row r="31" spans="1:9" x14ac:dyDescent="0.2">
      <c r="A31" s="38" t="s">
        <v>39</v>
      </c>
      <c r="B31" s="69">
        <v>0</v>
      </c>
      <c r="C31" s="49">
        <f t="shared" si="5"/>
        <v>0</v>
      </c>
      <c r="D31" s="69">
        <v>175</v>
      </c>
      <c r="E31" s="49">
        <f t="shared" si="6"/>
        <v>2.3607431349589636E-4</v>
      </c>
      <c r="F31" s="69">
        <v>0</v>
      </c>
      <c r="G31" s="49">
        <f t="shared" si="7"/>
        <v>0</v>
      </c>
      <c r="H31" s="44">
        <f t="shared" si="8"/>
        <v>175</v>
      </c>
      <c r="I31" s="50">
        <f t="shared" si="9"/>
        <v>2.0862317052381107E-4</v>
      </c>
    </row>
    <row r="32" spans="1:9" x14ac:dyDescent="0.2">
      <c r="A32" s="38" t="s">
        <v>40</v>
      </c>
      <c r="B32" s="69">
        <v>0</v>
      </c>
      <c r="C32" s="49">
        <f t="shared" si="5"/>
        <v>0</v>
      </c>
      <c r="D32" s="69">
        <v>40</v>
      </c>
      <c r="E32" s="49">
        <f t="shared" si="6"/>
        <v>5.3959843084776311E-5</v>
      </c>
      <c r="F32" s="69">
        <v>0</v>
      </c>
      <c r="G32" s="49">
        <f t="shared" si="7"/>
        <v>0</v>
      </c>
      <c r="H32" s="44">
        <f t="shared" si="8"/>
        <v>40</v>
      </c>
      <c r="I32" s="50">
        <f t="shared" si="9"/>
        <v>4.7685296119728241E-5</v>
      </c>
    </row>
    <row r="33" spans="1:9" x14ac:dyDescent="0.2">
      <c r="A33" s="38" t="s">
        <v>41</v>
      </c>
      <c r="B33" s="69">
        <v>18</v>
      </c>
      <c r="C33" s="49">
        <f t="shared" si="5"/>
        <v>1.9307297085670769E-4</v>
      </c>
      <c r="D33" s="69">
        <v>1031</v>
      </c>
      <c r="E33" s="49">
        <f t="shared" si="6"/>
        <v>1.3908149555101094E-3</v>
      </c>
      <c r="F33" s="69">
        <v>8</v>
      </c>
      <c r="G33" s="49">
        <f t="shared" si="7"/>
        <v>1.8552875695732839E-3</v>
      </c>
      <c r="H33" s="44">
        <f t="shared" si="8"/>
        <v>1057</v>
      </c>
      <c r="I33" s="50">
        <f t="shared" si="9"/>
        <v>1.2600839499638187E-3</v>
      </c>
    </row>
    <row r="34" spans="1:9" x14ac:dyDescent="0.2">
      <c r="A34" s="38" t="s">
        <v>42</v>
      </c>
      <c r="B34" s="81">
        <v>0</v>
      </c>
      <c r="C34" s="49">
        <f t="shared" si="5"/>
        <v>0</v>
      </c>
      <c r="D34" s="69">
        <v>0</v>
      </c>
      <c r="E34" s="49">
        <f t="shared" si="6"/>
        <v>0</v>
      </c>
      <c r="F34" s="69">
        <v>0</v>
      </c>
      <c r="G34" s="49">
        <f t="shared" si="7"/>
        <v>0</v>
      </c>
      <c r="H34" s="44">
        <f t="shared" si="8"/>
        <v>0</v>
      </c>
      <c r="I34" s="50">
        <f t="shared" si="9"/>
        <v>0</v>
      </c>
    </row>
    <row r="35" spans="1:9" x14ac:dyDescent="0.2">
      <c r="A35" s="38" t="s">
        <v>43</v>
      </c>
      <c r="B35" s="69">
        <v>868</v>
      </c>
      <c r="C35" s="49">
        <f t="shared" si="5"/>
        <v>9.310407705756793E-3</v>
      </c>
      <c r="D35" s="69">
        <v>25115</v>
      </c>
      <c r="E35" s="49">
        <f t="shared" si="6"/>
        <v>3.3880036476853927E-2</v>
      </c>
      <c r="F35" s="69">
        <v>4</v>
      </c>
      <c r="G35" s="49">
        <f t="shared" si="7"/>
        <v>9.2764378478664194E-4</v>
      </c>
      <c r="H35" s="44">
        <f t="shared" si="8"/>
        <v>25987</v>
      </c>
      <c r="I35" s="50">
        <f t="shared" si="9"/>
        <v>3.0979944756584447E-2</v>
      </c>
    </row>
    <row r="36" spans="1:9" x14ac:dyDescent="0.2">
      <c r="A36" s="38" t="s">
        <v>44</v>
      </c>
      <c r="B36" s="69">
        <v>10</v>
      </c>
      <c r="C36" s="49">
        <f t="shared" si="5"/>
        <v>1.0726276158705982E-4</v>
      </c>
      <c r="D36" s="69">
        <v>4</v>
      </c>
      <c r="E36" s="49">
        <f t="shared" si="6"/>
        <v>5.3959843084776308E-6</v>
      </c>
      <c r="F36" s="69">
        <v>0</v>
      </c>
      <c r="G36" s="49">
        <f t="shared" si="7"/>
        <v>0</v>
      </c>
      <c r="H36" s="44">
        <f t="shared" si="8"/>
        <v>14</v>
      </c>
      <c r="I36" s="50">
        <f t="shared" si="9"/>
        <v>1.6689853641904884E-5</v>
      </c>
    </row>
    <row r="37" spans="1:9" x14ac:dyDescent="0.2">
      <c r="A37" s="38" t="s">
        <v>45</v>
      </c>
      <c r="B37" s="69">
        <v>593</v>
      </c>
      <c r="C37" s="49">
        <f t="shared" si="5"/>
        <v>6.3606817621126473E-3</v>
      </c>
      <c r="D37" s="69">
        <v>21294</v>
      </c>
      <c r="E37" s="49">
        <f t="shared" si="6"/>
        <v>2.8725522466180667E-2</v>
      </c>
      <c r="F37" s="69">
        <v>2</v>
      </c>
      <c r="G37" s="49">
        <f t="shared" si="7"/>
        <v>4.6382189239332097E-4</v>
      </c>
      <c r="H37" s="44">
        <f t="shared" si="8"/>
        <v>21889</v>
      </c>
      <c r="I37" s="50">
        <f t="shared" si="9"/>
        <v>2.6094586169118288E-2</v>
      </c>
    </row>
    <row r="38" spans="1:9" x14ac:dyDescent="0.2">
      <c r="A38" s="38" t="s">
        <v>46</v>
      </c>
      <c r="B38" s="69">
        <v>15</v>
      </c>
      <c r="C38" s="49">
        <f t="shared" si="5"/>
        <v>1.6089414238058973E-4</v>
      </c>
      <c r="D38" s="69">
        <v>183</v>
      </c>
      <c r="E38" s="49">
        <f t="shared" si="6"/>
        <v>2.4686628211285162E-4</v>
      </c>
      <c r="F38" s="69">
        <v>0</v>
      </c>
      <c r="G38" s="49">
        <f t="shared" si="7"/>
        <v>0</v>
      </c>
      <c r="H38" s="44">
        <f t="shared" si="8"/>
        <v>198</v>
      </c>
      <c r="I38" s="50">
        <f t="shared" si="9"/>
        <v>2.360422157926548E-4</v>
      </c>
    </row>
    <row r="39" spans="1:9" x14ac:dyDescent="0.2">
      <c r="A39" s="38" t="s">
        <v>47</v>
      </c>
      <c r="B39" s="69">
        <v>11</v>
      </c>
      <c r="C39" s="49">
        <f t="shared" si="5"/>
        <v>1.1798903774576581E-4</v>
      </c>
      <c r="D39" s="69">
        <v>2</v>
      </c>
      <c r="E39" s="49">
        <f t="shared" si="6"/>
        <v>2.6979921542388154E-6</v>
      </c>
      <c r="F39" s="69">
        <v>0</v>
      </c>
      <c r="G39" s="49">
        <f t="shared" si="7"/>
        <v>0</v>
      </c>
      <c r="H39" s="44">
        <f t="shared" si="8"/>
        <v>13</v>
      </c>
      <c r="I39" s="50">
        <f t="shared" si="9"/>
        <v>1.5497721238911677E-5</v>
      </c>
    </row>
    <row r="40" spans="1:9" x14ac:dyDescent="0.2">
      <c r="A40" s="38" t="s">
        <v>48</v>
      </c>
      <c r="B40" s="69">
        <v>2</v>
      </c>
      <c r="C40" s="49">
        <f t="shared" si="5"/>
        <v>2.1452552317411964E-5</v>
      </c>
      <c r="D40" s="69">
        <v>0</v>
      </c>
      <c r="E40" s="49">
        <f t="shared" si="6"/>
        <v>0</v>
      </c>
      <c r="F40" s="69">
        <v>0</v>
      </c>
      <c r="G40" s="49">
        <f t="shared" si="7"/>
        <v>0</v>
      </c>
      <c r="H40" s="44">
        <f t="shared" si="8"/>
        <v>2</v>
      </c>
      <c r="I40" s="50">
        <f t="shared" si="9"/>
        <v>2.3842648059864121E-6</v>
      </c>
    </row>
    <row r="41" spans="1:9" x14ac:dyDescent="0.2">
      <c r="A41" s="38" t="s">
        <v>49</v>
      </c>
      <c r="B41" s="69">
        <v>15</v>
      </c>
      <c r="C41" s="49">
        <f t="shared" si="5"/>
        <v>1.6089414238058973E-4</v>
      </c>
      <c r="D41" s="69">
        <v>14</v>
      </c>
      <c r="E41" s="49">
        <f t="shared" si="6"/>
        <v>1.8885945079671707E-5</v>
      </c>
      <c r="F41" s="69">
        <v>0</v>
      </c>
      <c r="G41" s="49">
        <f t="shared" si="7"/>
        <v>0</v>
      </c>
      <c r="H41" s="44">
        <f t="shared" si="8"/>
        <v>29</v>
      </c>
      <c r="I41" s="50">
        <f t="shared" si="9"/>
        <v>3.4571839686802977E-5</v>
      </c>
    </row>
    <row r="42" spans="1:9" x14ac:dyDescent="0.2">
      <c r="A42" s="38" t="s">
        <v>50</v>
      </c>
      <c r="B42" s="69">
        <v>62</v>
      </c>
      <c r="C42" s="49">
        <f t="shared" si="5"/>
        <v>6.6502912183977084E-4</v>
      </c>
      <c r="D42" s="69">
        <v>81</v>
      </c>
      <c r="E42" s="49">
        <f t="shared" si="6"/>
        <v>1.0926868224667202E-4</v>
      </c>
      <c r="F42" s="69">
        <v>7</v>
      </c>
      <c r="G42" s="49">
        <f t="shared" si="7"/>
        <v>1.6233766233766235E-3</v>
      </c>
      <c r="H42" s="44">
        <f t="shared" si="8"/>
        <v>150</v>
      </c>
      <c r="I42" s="50">
        <f t="shared" si="9"/>
        <v>1.788198604489809E-4</v>
      </c>
    </row>
    <row r="43" spans="1:9" x14ac:dyDescent="0.2">
      <c r="A43" s="38" t="s">
        <v>51</v>
      </c>
      <c r="B43" s="69">
        <v>15</v>
      </c>
      <c r="C43" s="49">
        <f t="shared" si="5"/>
        <v>1.6089414238058973E-4</v>
      </c>
      <c r="D43" s="69">
        <v>14</v>
      </c>
      <c r="E43" s="49">
        <f t="shared" si="6"/>
        <v>1.8885945079671707E-5</v>
      </c>
      <c r="F43" s="69">
        <v>0</v>
      </c>
      <c r="G43" s="49">
        <f t="shared" si="7"/>
        <v>0</v>
      </c>
      <c r="H43" s="44">
        <f t="shared" si="8"/>
        <v>29</v>
      </c>
      <c r="I43" s="50">
        <f t="shared" si="9"/>
        <v>3.4571839686802977E-5</v>
      </c>
    </row>
    <row r="44" spans="1:9" x14ac:dyDescent="0.2">
      <c r="A44" s="44" t="s">
        <v>18</v>
      </c>
      <c r="B44" s="44">
        <f>SUM(B28:B43)</f>
        <v>93229</v>
      </c>
      <c r="C44" s="50">
        <f t="shared" si="5"/>
        <v>1</v>
      </c>
      <c r="D44" s="44">
        <f>SUM(D28:D43)</f>
        <v>741292</v>
      </c>
      <c r="E44" s="50">
        <f t="shared" si="6"/>
        <v>1</v>
      </c>
      <c r="F44" s="44">
        <f>SUM(F28:F43)</f>
        <v>4312</v>
      </c>
      <c r="G44" s="50">
        <f t="shared" si="7"/>
        <v>1</v>
      </c>
      <c r="H44" s="44">
        <f>SUM(H28:H43)</f>
        <v>838833</v>
      </c>
      <c r="I44" s="50">
        <f t="shared" si="9"/>
        <v>1</v>
      </c>
    </row>
    <row r="47" spans="1:9" x14ac:dyDescent="0.2">
      <c r="A47" s="70" t="s">
        <v>81</v>
      </c>
      <c r="B47" s="37"/>
      <c r="C47" s="37"/>
      <c r="D47" s="37"/>
      <c r="E47" s="37"/>
      <c r="F47" s="37"/>
      <c r="G47" s="37"/>
      <c r="H47" s="37"/>
      <c r="I47" s="37"/>
    </row>
    <row r="48" spans="1:9" x14ac:dyDescent="0.2">
      <c r="A48" s="37"/>
      <c r="B48" s="37"/>
      <c r="C48" s="37"/>
      <c r="D48" s="37"/>
      <c r="E48" s="37"/>
      <c r="F48" s="37"/>
      <c r="G48" s="37"/>
      <c r="H48" s="37"/>
      <c r="I48" s="37"/>
    </row>
    <row r="49" spans="1:9" x14ac:dyDescent="0.2">
      <c r="A49" s="77" t="s">
        <v>65</v>
      </c>
      <c r="B49" s="88" t="s">
        <v>0</v>
      </c>
      <c r="C49" s="88"/>
      <c r="D49" s="88" t="s">
        <v>30</v>
      </c>
      <c r="E49" s="88"/>
      <c r="F49" s="88" t="s">
        <v>31</v>
      </c>
      <c r="G49" s="88"/>
      <c r="H49" s="87" t="s">
        <v>18</v>
      </c>
      <c r="I49" s="87"/>
    </row>
    <row r="50" spans="1:9" x14ac:dyDescent="0.2">
      <c r="A50" s="77" t="s">
        <v>66</v>
      </c>
      <c r="B50" s="77" t="s">
        <v>67</v>
      </c>
      <c r="C50" s="77" t="s">
        <v>68</v>
      </c>
      <c r="D50" s="77" t="s">
        <v>67</v>
      </c>
      <c r="E50" s="77" t="s">
        <v>68</v>
      </c>
      <c r="F50" s="77" t="s">
        <v>67</v>
      </c>
      <c r="G50" s="77" t="s">
        <v>68</v>
      </c>
      <c r="H50" s="78" t="s">
        <v>67</v>
      </c>
      <c r="I50" s="78" t="s">
        <v>68</v>
      </c>
    </row>
    <row r="51" spans="1:9" x14ac:dyDescent="0.2">
      <c r="A51" s="38" t="s">
        <v>36</v>
      </c>
      <c r="B51" s="69">
        <v>2780</v>
      </c>
      <c r="C51" s="49">
        <f>B51/92196</f>
        <v>3.0153151980563148E-2</v>
      </c>
      <c r="D51" s="69">
        <v>228301</v>
      </c>
      <c r="E51" s="49">
        <f>D51/733909</f>
        <v>0.31107535130377201</v>
      </c>
      <c r="F51" s="69">
        <v>21</v>
      </c>
      <c r="G51" s="49">
        <f>F51/4241</f>
        <v>4.9516623437868426E-3</v>
      </c>
      <c r="H51" s="42">
        <f>B51+D51+F51</f>
        <v>231102</v>
      </c>
      <c r="I51" s="50">
        <f>H51/830346</f>
        <v>0.27832012197324968</v>
      </c>
    </row>
    <row r="52" spans="1:9" x14ac:dyDescent="0.2">
      <c r="A52" s="38" t="s">
        <v>37</v>
      </c>
      <c r="B52" s="69">
        <v>87811</v>
      </c>
      <c r="C52" s="49">
        <f t="shared" ref="C52:C66" si="10">B52/92196</f>
        <v>0.9524382836565578</v>
      </c>
      <c r="D52" s="69">
        <v>457267</v>
      </c>
      <c r="E52" s="49">
        <f t="shared" ref="E52:E67" si="11">D52/733909</f>
        <v>0.62305680949545517</v>
      </c>
      <c r="F52" s="69">
        <v>4199</v>
      </c>
      <c r="G52" s="49">
        <f t="shared" ref="G52:G67" si="12">F52/4241</f>
        <v>0.99009667531242629</v>
      </c>
      <c r="H52" s="42">
        <f t="shared" ref="H52:H66" si="13">B52+D52+F52</f>
        <v>549277</v>
      </c>
      <c r="I52" s="50">
        <f t="shared" ref="I52:I67" si="14">H52/830346</f>
        <v>0.66150375867409494</v>
      </c>
    </row>
    <row r="53" spans="1:9" x14ac:dyDescent="0.2">
      <c r="A53" s="38" t="s">
        <v>38</v>
      </c>
      <c r="B53" s="69">
        <v>10</v>
      </c>
      <c r="C53" s="49">
        <f t="shared" si="10"/>
        <v>1.0846457546965161E-4</v>
      </c>
      <c r="D53" s="69">
        <v>6</v>
      </c>
      <c r="E53" s="49">
        <f t="shared" si="11"/>
        <v>8.1754004924316228E-6</v>
      </c>
      <c r="F53" s="69">
        <v>0</v>
      </c>
      <c r="G53" s="49">
        <f t="shared" si="12"/>
        <v>0</v>
      </c>
      <c r="H53" s="42">
        <f t="shared" si="13"/>
        <v>16</v>
      </c>
      <c r="I53" s="50">
        <f t="shared" si="14"/>
        <v>1.926907578286642E-5</v>
      </c>
    </row>
    <row r="54" spans="1:9" x14ac:dyDescent="0.2">
      <c r="A54" s="38" t="s">
        <v>39</v>
      </c>
      <c r="B54" s="69"/>
      <c r="C54" s="49">
        <f t="shared" si="10"/>
        <v>0</v>
      </c>
      <c r="D54" s="69">
        <v>152</v>
      </c>
      <c r="E54" s="49">
        <f t="shared" si="11"/>
        <v>2.0711014580826779E-4</v>
      </c>
      <c r="F54" s="69">
        <v>0</v>
      </c>
      <c r="G54" s="49">
        <f t="shared" si="12"/>
        <v>0</v>
      </c>
      <c r="H54" s="42">
        <f t="shared" si="13"/>
        <v>152</v>
      </c>
      <c r="I54" s="50">
        <f t="shared" si="14"/>
        <v>1.8305621993723099E-4</v>
      </c>
    </row>
    <row r="55" spans="1:9" x14ac:dyDescent="0.2">
      <c r="A55" s="38" t="s">
        <v>40</v>
      </c>
      <c r="B55" s="69"/>
      <c r="C55" s="49">
        <f t="shared" si="10"/>
        <v>0</v>
      </c>
      <c r="D55" s="69">
        <v>32</v>
      </c>
      <c r="E55" s="49">
        <f t="shared" si="11"/>
        <v>4.3602135959635321E-5</v>
      </c>
      <c r="F55" s="69">
        <v>0</v>
      </c>
      <c r="G55" s="49">
        <f t="shared" si="12"/>
        <v>0</v>
      </c>
      <c r="H55" s="42">
        <f t="shared" si="13"/>
        <v>32</v>
      </c>
      <c r="I55" s="50">
        <f t="shared" si="14"/>
        <v>3.853815156573284E-5</v>
      </c>
    </row>
    <row r="56" spans="1:9" x14ac:dyDescent="0.2">
      <c r="A56" s="38" t="s">
        <v>41</v>
      </c>
      <c r="B56" s="69">
        <v>18</v>
      </c>
      <c r="C56" s="49">
        <f t="shared" si="10"/>
        <v>1.9523623584537291E-4</v>
      </c>
      <c r="D56" s="69">
        <v>836</v>
      </c>
      <c r="E56" s="49">
        <f t="shared" si="11"/>
        <v>1.1391058019454728E-3</v>
      </c>
      <c r="F56" s="69">
        <v>8</v>
      </c>
      <c r="G56" s="49">
        <f t="shared" si="12"/>
        <v>1.8863475595378449E-3</v>
      </c>
      <c r="H56" s="42">
        <f t="shared" si="13"/>
        <v>862</v>
      </c>
      <c r="I56" s="50">
        <f t="shared" si="14"/>
        <v>1.0381214578019284E-3</v>
      </c>
    </row>
    <row r="57" spans="1:9" x14ac:dyDescent="0.2">
      <c r="A57" s="38" t="s">
        <v>42</v>
      </c>
      <c r="B57" s="37">
        <v>0</v>
      </c>
      <c r="C57" s="49">
        <f t="shared" si="10"/>
        <v>0</v>
      </c>
      <c r="D57" s="69">
        <v>0</v>
      </c>
      <c r="E57" s="49">
        <f t="shared" si="11"/>
        <v>0</v>
      </c>
      <c r="F57" s="69">
        <v>0</v>
      </c>
      <c r="G57" s="49">
        <f t="shared" si="12"/>
        <v>0</v>
      </c>
      <c r="H57" s="42">
        <f t="shared" si="13"/>
        <v>0</v>
      </c>
      <c r="I57" s="50">
        <f t="shared" si="14"/>
        <v>0</v>
      </c>
    </row>
    <row r="58" spans="1:9" x14ac:dyDescent="0.2">
      <c r="A58" s="38" t="s">
        <v>43</v>
      </c>
      <c r="B58" s="69">
        <v>894</v>
      </c>
      <c r="C58" s="49">
        <f t="shared" si="10"/>
        <v>9.6967330469868544E-3</v>
      </c>
      <c r="D58" s="69">
        <v>26129</v>
      </c>
      <c r="E58" s="49">
        <f t="shared" si="11"/>
        <v>3.5602506577790981E-2</v>
      </c>
      <c r="F58" s="69">
        <v>4</v>
      </c>
      <c r="G58" s="49">
        <f t="shared" si="12"/>
        <v>9.4317377976892245E-4</v>
      </c>
      <c r="H58" s="42">
        <f t="shared" si="13"/>
        <v>27027</v>
      </c>
      <c r="I58" s="50">
        <f t="shared" si="14"/>
        <v>3.2549081948970673E-2</v>
      </c>
    </row>
    <row r="59" spans="1:9" x14ac:dyDescent="0.2">
      <c r="A59" s="38" t="s">
        <v>44</v>
      </c>
      <c r="B59" s="69">
        <v>11</v>
      </c>
      <c r="C59" s="49">
        <f t="shared" si="10"/>
        <v>1.1931103301661677E-4</v>
      </c>
      <c r="D59" s="69">
        <v>5</v>
      </c>
      <c r="E59" s="49">
        <f t="shared" si="11"/>
        <v>6.812833743693019E-6</v>
      </c>
      <c r="F59" s="69">
        <v>1</v>
      </c>
      <c r="G59" s="49">
        <f t="shared" si="12"/>
        <v>2.3579344494223061E-4</v>
      </c>
      <c r="H59" s="42">
        <f t="shared" si="13"/>
        <v>17</v>
      </c>
      <c r="I59" s="50">
        <f t="shared" si="14"/>
        <v>2.047339301929557E-5</v>
      </c>
    </row>
    <row r="60" spans="1:9" x14ac:dyDescent="0.2">
      <c r="A60" s="38" t="s">
        <v>45</v>
      </c>
      <c r="B60" s="69">
        <v>567</v>
      </c>
      <c r="C60" s="49">
        <f t="shared" si="10"/>
        <v>6.1499414291292468E-3</v>
      </c>
      <c r="D60" s="69">
        <v>20909</v>
      </c>
      <c r="E60" s="49">
        <f t="shared" si="11"/>
        <v>2.8489908149375468E-2</v>
      </c>
      <c r="F60" s="69">
        <v>1</v>
      </c>
      <c r="G60" s="49">
        <f t="shared" si="12"/>
        <v>2.3579344494223061E-4</v>
      </c>
      <c r="H60" s="42">
        <f t="shared" si="13"/>
        <v>21477</v>
      </c>
      <c r="I60" s="50">
        <f t="shared" si="14"/>
        <v>2.5865121286788882E-2</v>
      </c>
    </row>
    <row r="61" spans="1:9" x14ac:dyDescent="0.2">
      <c r="A61" s="38" t="s">
        <v>46</v>
      </c>
      <c r="B61" s="69">
        <v>11</v>
      </c>
      <c r="C61" s="49">
        <f t="shared" si="10"/>
        <v>1.1931103301661677E-4</v>
      </c>
      <c r="D61" s="69">
        <v>167</v>
      </c>
      <c r="E61" s="49">
        <f t="shared" si="11"/>
        <v>2.2754864703934685E-4</v>
      </c>
      <c r="F61" s="69">
        <v>0</v>
      </c>
      <c r="G61" s="49">
        <f t="shared" si="12"/>
        <v>0</v>
      </c>
      <c r="H61" s="42">
        <f t="shared" si="13"/>
        <v>178</v>
      </c>
      <c r="I61" s="50">
        <f t="shared" si="14"/>
        <v>2.1436846808438892E-4</v>
      </c>
    </row>
    <row r="62" spans="1:9" x14ac:dyDescent="0.2">
      <c r="A62" s="38" t="s">
        <v>47</v>
      </c>
      <c r="B62" s="69">
        <v>11</v>
      </c>
      <c r="C62" s="49">
        <f t="shared" si="10"/>
        <v>1.1931103301661677E-4</v>
      </c>
      <c r="D62" s="69">
        <v>2</v>
      </c>
      <c r="E62" s="49">
        <f t="shared" si="11"/>
        <v>2.7251334974772076E-6</v>
      </c>
      <c r="F62" s="69">
        <v>0</v>
      </c>
      <c r="G62" s="49">
        <f t="shared" si="12"/>
        <v>0</v>
      </c>
      <c r="H62" s="42">
        <f t="shared" si="13"/>
        <v>13</v>
      </c>
      <c r="I62" s="50">
        <f t="shared" si="14"/>
        <v>1.5656124073578967E-5</v>
      </c>
    </row>
    <row r="63" spans="1:9" x14ac:dyDescent="0.2">
      <c r="A63" s="38" t="s">
        <v>48</v>
      </c>
      <c r="B63" s="69">
        <v>2</v>
      </c>
      <c r="C63" s="49">
        <f t="shared" si="10"/>
        <v>2.1692915093930321E-5</v>
      </c>
      <c r="D63" s="69"/>
      <c r="E63" s="49">
        <f t="shared" si="11"/>
        <v>0</v>
      </c>
      <c r="F63" s="69">
        <v>0</v>
      </c>
      <c r="G63" s="49">
        <f t="shared" si="12"/>
        <v>0</v>
      </c>
      <c r="H63" s="42">
        <f t="shared" si="13"/>
        <v>2</v>
      </c>
      <c r="I63" s="50">
        <f t="shared" si="14"/>
        <v>2.4086344728583025E-6</v>
      </c>
    </row>
    <row r="64" spans="1:9" x14ac:dyDescent="0.2">
      <c r="A64" s="38" t="s">
        <v>49</v>
      </c>
      <c r="B64" s="69">
        <v>14</v>
      </c>
      <c r="C64" s="49">
        <f t="shared" si="10"/>
        <v>1.5185040565751225E-4</v>
      </c>
      <c r="D64" s="69">
        <v>14</v>
      </c>
      <c r="E64" s="49">
        <f t="shared" si="11"/>
        <v>1.9075934482340453E-5</v>
      </c>
      <c r="F64" s="69">
        <v>0</v>
      </c>
      <c r="G64" s="49">
        <f t="shared" si="12"/>
        <v>0</v>
      </c>
      <c r="H64" s="42">
        <f t="shared" si="13"/>
        <v>28</v>
      </c>
      <c r="I64" s="50">
        <f t="shared" si="14"/>
        <v>3.3720882620016234E-5</v>
      </c>
    </row>
    <row r="65" spans="1:9" x14ac:dyDescent="0.2">
      <c r="A65" s="38" t="s">
        <v>50</v>
      </c>
      <c r="B65" s="69">
        <v>53</v>
      </c>
      <c r="C65" s="49">
        <f t="shared" si="10"/>
        <v>5.748622499891535E-4</v>
      </c>
      <c r="D65" s="69">
        <v>75</v>
      </c>
      <c r="E65" s="49">
        <f t="shared" si="11"/>
        <v>1.0219250615539529E-4</v>
      </c>
      <c r="F65" s="69">
        <v>7</v>
      </c>
      <c r="G65" s="49">
        <f t="shared" si="12"/>
        <v>1.6505541145956143E-3</v>
      </c>
      <c r="H65" s="42">
        <f t="shared" si="13"/>
        <v>135</v>
      </c>
      <c r="I65" s="50">
        <f t="shared" si="14"/>
        <v>1.6258282691793542E-4</v>
      </c>
    </row>
    <row r="66" spans="1:9" x14ac:dyDescent="0.2">
      <c r="A66" s="38" t="s">
        <v>51</v>
      </c>
      <c r="B66" s="69">
        <v>14</v>
      </c>
      <c r="C66" s="49">
        <f t="shared" si="10"/>
        <v>1.5185040565751225E-4</v>
      </c>
      <c r="D66" s="69">
        <v>14</v>
      </c>
      <c r="E66" s="49">
        <f t="shared" si="11"/>
        <v>1.9075934482340453E-5</v>
      </c>
      <c r="F66" s="69">
        <v>0</v>
      </c>
      <c r="G66" s="49">
        <f t="shared" si="12"/>
        <v>0</v>
      </c>
      <c r="H66" s="42">
        <f t="shared" si="13"/>
        <v>28</v>
      </c>
      <c r="I66" s="50">
        <f t="shared" si="14"/>
        <v>3.3720882620016234E-5</v>
      </c>
    </row>
    <row r="67" spans="1:9" x14ac:dyDescent="0.2">
      <c r="A67" s="44" t="s">
        <v>18</v>
      </c>
      <c r="B67" s="44">
        <f>SUM(B51:B66)</f>
        <v>92196</v>
      </c>
      <c r="C67" s="50">
        <f>B67/92196</f>
        <v>1</v>
      </c>
      <c r="D67" s="44">
        <f>SUM(D51:D66)</f>
        <v>733909</v>
      </c>
      <c r="E67" s="50">
        <f t="shared" si="11"/>
        <v>1</v>
      </c>
      <c r="F67" s="44">
        <f>SUM(F51:F66)</f>
        <v>4241</v>
      </c>
      <c r="G67" s="50">
        <f t="shared" si="12"/>
        <v>1</v>
      </c>
      <c r="H67" s="44">
        <f>SUM(H51:H66)</f>
        <v>830346</v>
      </c>
      <c r="I67" s="50">
        <f t="shared" si="14"/>
        <v>1</v>
      </c>
    </row>
    <row r="70" spans="1:9" x14ac:dyDescent="0.2">
      <c r="A70" s="70" t="s">
        <v>80</v>
      </c>
      <c r="B70" s="37"/>
      <c r="C70" s="37"/>
      <c r="D70" s="37"/>
      <c r="E70" s="37"/>
      <c r="F70" s="37"/>
      <c r="G70" s="37"/>
      <c r="H70" s="37"/>
      <c r="I70" s="37"/>
    </row>
    <row r="71" spans="1:9" x14ac:dyDescent="0.2">
      <c r="A71" s="37"/>
      <c r="B71" s="37"/>
      <c r="C71" s="37"/>
      <c r="D71" s="37"/>
      <c r="E71" s="37"/>
      <c r="F71" s="37"/>
      <c r="G71" s="37"/>
      <c r="H71" s="37"/>
      <c r="I71" s="37"/>
    </row>
    <row r="72" spans="1:9" x14ac:dyDescent="0.2">
      <c r="A72" s="75" t="s">
        <v>65</v>
      </c>
      <c r="B72" s="88" t="s">
        <v>0</v>
      </c>
      <c r="C72" s="88"/>
      <c r="D72" s="88" t="s">
        <v>30</v>
      </c>
      <c r="E72" s="88"/>
      <c r="F72" s="88" t="s">
        <v>31</v>
      </c>
      <c r="G72" s="88"/>
      <c r="H72" s="87" t="s">
        <v>18</v>
      </c>
      <c r="I72" s="87"/>
    </row>
    <row r="73" spans="1:9" x14ac:dyDescent="0.2">
      <c r="A73" s="75" t="s">
        <v>66</v>
      </c>
      <c r="B73" s="75" t="s">
        <v>67</v>
      </c>
      <c r="C73" s="75" t="s">
        <v>68</v>
      </c>
      <c r="D73" s="75" t="s">
        <v>67</v>
      </c>
      <c r="E73" s="75" t="s">
        <v>68</v>
      </c>
      <c r="F73" s="75" t="s">
        <v>67</v>
      </c>
      <c r="G73" s="75" t="s">
        <v>68</v>
      </c>
      <c r="H73" s="76" t="s">
        <v>67</v>
      </c>
      <c r="I73" s="76" t="s">
        <v>68</v>
      </c>
    </row>
    <row r="74" spans="1:9" x14ac:dyDescent="0.2">
      <c r="A74" s="38" t="s">
        <v>36</v>
      </c>
      <c r="B74" s="69">
        <v>2780</v>
      </c>
      <c r="C74" s="49">
        <f>B74/91467</f>
        <v>3.0393475242437164E-2</v>
      </c>
      <c r="D74" s="69">
        <v>228823</v>
      </c>
      <c r="E74" s="49">
        <f>D74/729529</f>
        <v>0.31365853859133769</v>
      </c>
      <c r="F74" s="69">
        <v>22</v>
      </c>
      <c r="G74" s="49">
        <f>F74/4383</f>
        <v>5.0193931097421854E-3</v>
      </c>
      <c r="H74" s="42">
        <f>B74+D74+F74</f>
        <v>231625</v>
      </c>
      <c r="I74" s="50">
        <f>H74/825379</f>
        <v>0.28062865665348891</v>
      </c>
    </row>
    <row r="75" spans="1:9" x14ac:dyDescent="0.2">
      <c r="A75" s="38" t="s">
        <v>37</v>
      </c>
      <c r="B75" s="69">
        <v>87112</v>
      </c>
      <c r="C75" s="49">
        <f t="shared" ref="C75:C90" si="15">B75/91467</f>
        <v>0.95238719975510289</v>
      </c>
      <c r="D75" s="69">
        <v>452068</v>
      </c>
      <c r="E75" s="49">
        <f t="shared" ref="E75:E89" si="16">D75/729529</f>
        <v>0.61967104803236062</v>
      </c>
      <c r="F75" s="69">
        <v>4340</v>
      </c>
      <c r="G75" s="49">
        <f t="shared" ref="G75:G90" si="17">F75/4383</f>
        <v>0.99018936801277668</v>
      </c>
      <c r="H75" s="42">
        <f t="shared" ref="H75:H89" si="18">B75+D75+F75</f>
        <v>543520</v>
      </c>
      <c r="I75" s="50">
        <f t="shared" ref="I75:I90" si="19">H75/825379</f>
        <v>0.65850960589014262</v>
      </c>
    </row>
    <row r="76" spans="1:9" x14ac:dyDescent="0.2">
      <c r="A76" s="38" t="s">
        <v>38</v>
      </c>
      <c r="B76" s="69">
        <v>11</v>
      </c>
      <c r="C76" s="49">
        <f t="shared" si="15"/>
        <v>1.2026195239813265E-4</v>
      </c>
      <c r="D76" s="69">
        <v>6</v>
      </c>
      <c r="E76" s="49">
        <f t="shared" si="16"/>
        <v>8.2244845646985939E-6</v>
      </c>
      <c r="F76" s="69">
        <v>0</v>
      </c>
      <c r="G76" s="49">
        <f t="shared" si="17"/>
        <v>0</v>
      </c>
      <c r="H76" s="42">
        <f t="shared" si="18"/>
        <v>17</v>
      </c>
      <c r="I76" s="50">
        <f t="shared" si="19"/>
        <v>2.0596598653467074E-5</v>
      </c>
    </row>
    <row r="77" spans="1:9" x14ac:dyDescent="0.2">
      <c r="A77" s="38" t="s">
        <v>39</v>
      </c>
      <c r="B77" s="69">
        <v>0</v>
      </c>
      <c r="C77" s="49">
        <f t="shared" si="15"/>
        <v>0</v>
      </c>
      <c r="D77" s="69">
        <v>140</v>
      </c>
      <c r="E77" s="49">
        <f t="shared" si="16"/>
        <v>1.9190463984296717E-4</v>
      </c>
      <c r="F77" s="69">
        <v>0</v>
      </c>
      <c r="G77" s="49">
        <f t="shared" si="17"/>
        <v>0</v>
      </c>
      <c r="H77" s="42">
        <f t="shared" si="18"/>
        <v>140</v>
      </c>
      <c r="I77" s="50">
        <f t="shared" si="19"/>
        <v>1.6961904773443474E-4</v>
      </c>
    </row>
    <row r="78" spans="1:9" x14ac:dyDescent="0.2">
      <c r="A78" s="38" t="s">
        <v>40</v>
      </c>
      <c r="B78" s="69">
        <v>0</v>
      </c>
      <c r="C78" s="49">
        <f t="shared" si="15"/>
        <v>0</v>
      </c>
      <c r="D78" s="69">
        <v>31</v>
      </c>
      <c r="E78" s="49">
        <f t="shared" si="16"/>
        <v>4.2493170250942733E-5</v>
      </c>
      <c r="F78" s="69">
        <v>0</v>
      </c>
      <c r="G78" s="49">
        <f t="shared" si="17"/>
        <v>0</v>
      </c>
      <c r="H78" s="42">
        <f t="shared" si="18"/>
        <v>31</v>
      </c>
      <c r="I78" s="50">
        <f t="shared" si="19"/>
        <v>3.7558503426910546E-5</v>
      </c>
    </row>
    <row r="79" spans="1:9" x14ac:dyDescent="0.2">
      <c r="A79" s="38" t="s">
        <v>41</v>
      </c>
      <c r="B79" s="69">
        <v>18</v>
      </c>
      <c r="C79" s="49">
        <f t="shared" si="15"/>
        <v>1.9679228574239889E-4</v>
      </c>
      <c r="D79" s="69">
        <v>735</v>
      </c>
      <c r="E79" s="49">
        <f t="shared" si="16"/>
        <v>1.0074993591755778E-3</v>
      </c>
      <c r="F79" s="69">
        <v>8</v>
      </c>
      <c r="G79" s="49">
        <f t="shared" si="17"/>
        <v>1.8252338580880675E-3</v>
      </c>
      <c r="H79" s="42">
        <f t="shared" si="18"/>
        <v>761</v>
      </c>
      <c r="I79" s="50">
        <f t="shared" si="19"/>
        <v>9.2200068089932018E-4</v>
      </c>
    </row>
    <row r="80" spans="1:9" x14ac:dyDescent="0.2">
      <c r="A80" s="38" t="s">
        <v>42</v>
      </c>
      <c r="B80" s="69">
        <v>0</v>
      </c>
      <c r="C80" s="49">
        <f t="shared" si="15"/>
        <v>0</v>
      </c>
      <c r="D80" s="69">
        <v>0</v>
      </c>
      <c r="E80" s="49">
        <f t="shared" si="16"/>
        <v>0</v>
      </c>
      <c r="F80" s="69">
        <v>0</v>
      </c>
      <c r="G80" s="49">
        <f t="shared" si="17"/>
        <v>0</v>
      </c>
      <c r="H80" s="42">
        <f t="shared" si="18"/>
        <v>0</v>
      </c>
      <c r="I80" s="50">
        <f t="shared" si="19"/>
        <v>0</v>
      </c>
    </row>
    <row r="81" spans="1:9" x14ac:dyDescent="0.2">
      <c r="A81" s="38" t="s">
        <v>43</v>
      </c>
      <c r="B81" s="69">
        <v>904</v>
      </c>
      <c r="C81" s="49">
        <f t="shared" si="15"/>
        <v>9.8833459061738113E-3</v>
      </c>
      <c r="D81" s="69">
        <v>26853</v>
      </c>
      <c r="E81" s="49">
        <f t="shared" si="16"/>
        <v>3.6808680669308556E-2</v>
      </c>
      <c r="F81" s="69">
        <v>4</v>
      </c>
      <c r="G81" s="49">
        <f t="shared" si="17"/>
        <v>9.1261692904403375E-4</v>
      </c>
      <c r="H81" s="42">
        <f t="shared" si="18"/>
        <v>27761</v>
      </c>
      <c r="I81" s="50">
        <f t="shared" si="19"/>
        <v>3.363424560111173E-2</v>
      </c>
    </row>
    <row r="82" spans="1:9" x14ac:dyDescent="0.2">
      <c r="A82" s="38" t="s">
        <v>44</v>
      </c>
      <c r="B82" s="69">
        <v>11</v>
      </c>
      <c r="C82" s="49">
        <f t="shared" si="15"/>
        <v>1.2026195239813265E-4</v>
      </c>
      <c r="D82" s="69">
        <v>5</v>
      </c>
      <c r="E82" s="49">
        <f t="shared" si="16"/>
        <v>6.8537371372488274E-6</v>
      </c>
      <c r="F82" s="69">
        <v>2</v>
      </c>
      <c r="G82" s="49">
        <f t="shared" si="17"/>
        <v>4.5630846452201688E-4</v>
      </c>
      <c r="H82" s="42">
        <f t="shared" si="18"/>
        <v>18</v>
      </c>
      <c r="I82" s="50">
        <f t="shared" si="19"/>
        <v>2.1808163280141607E-5</v>
      </c>
    </row>
    <row r="83" spans="1:9" x14ac:dyDescent="0.2">
      <c r="A83" s="38" t="s">
        <v>45</v>
      </c>
      <c r="B83" s="69">
        <v>544</v>
      </c>
      <c r="C83" s="49">
        <f t="shared" si="15"/>
        <v>5.9475001913258333E-3</v>
      </c>
      <c r="D83" s="69">
        <v>20611</v>
      </c>
      <c r="E83" s="49">
        <f t="shared" si="16"/>
        <v>2.8252475227167118E-2</v>
      </c>
      <c r="F83" s="69">
        <v>0</v>
      </c>
      <c r="G83" s="49">
        <f t="shared" si="17"/>
        <v>0</v>
      </c>
      <c r="H83" s="42">
        <f t="shared" si="18"/>
        <v>21155</v>
      </c>
      <c r="I83" s="50">
        <f t="shared" si="19"/>
        <v>2.5630649677299763E-2</v>
      </c>
    </row>
    <row r="84" spans="1:9" x14ac:dyDescent="0.2">
      <c r="A84" s="38" t="s">
        <v>46</v>
      </c>
      <c r="B84" s="69">
        <v>8</v>
      </c>
      <c r="C84" s="49">
        <f t="shared" si="15"/>
        <v>8.7463238107732844E-5</v>
      </c>
      <c r="D84" s="69">
        <v>163</v>
      </c>
      <c r="E84" s="49">
        <f t="shared" si="16"/>
        <v>2.2343183067431179E-4</v>
      </c>
      <c r="F84" s="69">
        <v>0</v>
      </c>
      <c r="G84" s="49">
        <f t="shared" si="17"/>
        <v>0</v>
      </c>
      <c r="H84" s="42">
        <f t="shared" si="18"/>
        <v>171</v>
      </c>
      <c r="I84" s="50">
        <f t="shared" si="19"/>
        <v>2.0717755116134528E-4</v>
      </c>
    </row>
    <row r="85" spans="1:9" x14ac:dyDescent="0.2">
      <c r="A85" s="38" t="s">
        <v>47</v>
      </c>
      <c r="B85" s="69">
        <v>10</v>
      </c>
      <c r="C85" s="49">
        <f t="shared" si="15"/>
        <v>1.0932904763466605E-4</v>
      </c>
      <c r="D85" s="69">
        <v>1</v>
      </c>
      <c r="E85" s="49">
        <f t="shared" si="16"/>
        <v>1.3707474274497654E-6</v>
      </c>
      <c r="F85" s="69">
        <v>0</v>
      </c>
      <c r="G85" s="49">
        <f t="shared" si="17"/>
        <v>0</v>
      </c>
      <c r="H85" s="42">
        <f t="shared" si="18"/>
        <v>11</v>
      </c>
      <c r="I85" s="50">
        <f t="shared" si="19"/>
        <v>1.3327210893419872E-5</v>
      </c>
    </row>
    <row r="86" spans="1:9" x14ac:dyDescent="0.2">
      <c r="A86" s="38" t="s">
        <v>48</v>
      </c>
      <c r="B86" s="69">
        <v>1</v>
      </c>
      <c r="C86" s="49">
        <f t="shared" si="15"/>
        <v>1.0932904763466605E-5</v>
      </c>
      <c r="D86" s="69">
        <v>0</v>
      </c>
      <c r="E86" s="49">
        <f t="shared" si="16"/>
        <v>0</v>
      </c>
      <c r="F86" s="69">
        <v>0</v>
      </c>
      <c r="G86" s="49">
        <f t="shared" si="17"/>
        <v>0</v>
      </c>
      <c r="H86" s="42">
        <f t="shared" si="18"/>
        <v>1</v>
      </c>
      <c r="I86" s="50">
        <f t="shared" si="19"/>
        <v>1.2115646266745338E-6</v>
      </c>
    </row>
    <row r="87" spans="1:9" x14ac:dyDescent="0.2">
      <c r="A87" s="38" t="s">
        <v>49</v>
      </c>
      <c r="B87" s="69">
        <v>12</v>
      </c>
      <c r="C87" s="49">
        <f t="shared" si="15"/>
        <v>1.3119485716159927E-4</v>
      </c>
      <c r="D87" s="69">
        <v>14</v>
      </c>
      <c r="E87" s="49">
        <f t="shared" si="16"/>
        <v>1.9190463984296717E-5</v>
      </c>
      <c r="F87" s="69">
        <v>0</v>
      </c>
      <c r="G87" s="49">
        <f t="shared" si="17"/>
        <v>0</v>
      </c>
      <c r="H87" s="42">
        <f t="shared" si="18"/>
        <v>26</v>
      </c>
      <c r="I87" s="50">
        <f t="shared" si="19"/>
        <v>3.1500680293537879E-5</v>
      </c>
    </row>
    <row r="88" spans="1:9" x14ac:dyDescent="0.2">
      <c r="A88" s="38" t="s">
        <v>50</v>
      </c>
      <c r="B88" s="69">
        <v>42</v>
      </c>
      <c r="C88" s="49">
        <f t="shared" si="15"/>
        <v>4.5918200006559741E-4</v>
      </c>
      <c r="D88" s="69">
        <v>65</v>
      </c>
      <c r="E88" s="49">
        <f t="shared" si="16"/>
        <v>8.9098582784234763E-5</v>
      </c>
      <c r="F88" s="69">
        <v>7</v>
      </c>
      <c r="G88" s="49">
        <f t="shared" si="17"/>
        <v>1.5970796258270592E-3</v>
      </c>
      <c r="H88" s="42">
        <f t="shared" si="18"/>
        <v>114</v>
      </c>
      <c r="I88" s="50">
        <f t="shared" si="19"/>
        <v>1.3811836744089684E-4</v>
      </c>
    </row>
    <row r="89" spans="1:9" x14ac:dyDescent="0.2">
      <c r="A89" s="38" t="s">
        <v>51</v>
      </c>
      <c r="B89" s="69">
        <v>14</v>
      </c>
      <c r="C89" s="49">
        <f t="shared" si="15"/>
        <v>1.5306066668853248E-4</v>
      </c>
      <c r="D89" s="69">
        <v>14</v>
      </c>
      <c r="E89" s="49">
        <f t="shared" si="16"/>
        <v>1.9190463984296717E-5</v>
      </c>
      <c r="F89" s="69">
        <v>0</v>
      </c>
      <c r="G89" s="49">
        <f t="shared" si="17"/>
        <v>0</v>
      </c>
      <c r="H89" s="42">
        <f t="shared" si="18"/>
        <v>28</v>
      </c>
      <c r="I89" s="50">
        <f t="shared" si="19"/>
        <v>3.3923809546886944E-5</v>
      </c>
    </row>
    <row r="90" spans="1:9" x14ac:dyDescent="0.2">
      <c r="A90" s="44" t="s">
        <v>18</v>
      </c>
      <c r="B90" s="44">
        <f>SUM(B74:B89)</f>
        <v>91467</v>
      </c>
      <c r="C90" s="50">
        <f t="shared" si="15"/>
        <v>1</v>
      </c>
      <c r="D90" s="44">
        <f>SUM(D74:D89)</f>
        <v>729529</v>
      </c>
      <c r="E90" s="50">
        <f>D90/729529</f>
        <v>1</v>
      </c>
      <c r="F90" s="44">
        <f>SUM(F74:F89)</f>
        <v>4383</v>
      </c>
      <c r="G90" s="50">
        <f t="shared" si="17"/>
        <v>1</v>
      </c>
      <c r="H90" s="44">
        <f>SUM(H74:H89)</f>
        <v>825379</v>
      </c>
      <c r="I90" s="50">
        <f t="shared" si="19"/>
        <v>1</v>
      </c>
    </row>
  </sheetData>
  <mergeCells count="16">
    <mergeCell ref="B3:C3"/>
    <mergeCell ref="D3:E3"/>
    <mergeCell ref="F3:G3"/>
    <mergeCell ref="H3:I3"/>
    <mergeCell ref="B26:C26"/>
    <mergeCell ref="D26:E26"/>
    <mergeCell ref="F26:G26"/>
    <mergeCell ref="H26:I26"/>
    <mergeCell ref="B72:C72"/>
    <mergeCell ref="D72:E72"/>
    <mergeCell ref="F72:G72"/>
    <mergeCell ref="H72:I72"/>
    <mergeCell ref="B49:C49"/>
    <mergeCell ref="D49:E49"/>
    <mergeCell ref="F49:G49"/>
    <mergeCell ref="H49:I49"/>
  </mergeCells>
  <pageMargins left="0.39370078740157483" right="0" top="0" bottom="0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"/>
  <sheetViews>
    <sheetView workbookViewId="0">
      <selection activeCell="AB72" sqref="AB72:AB80"/>
    </sheetView>
  </sheetViews>
  <sheetFormatPr defaultRowHeight="12.75" x14ac:dyDescent="0.2"/>
  <cols>
    <col min="1" max="1" width="24.42578125" style="37" customWidth="1"/>
    <col min="2" max="16384" width="9.140625" style="37"/>
  </cols>
  <sheetData>
    <row r="1" spans="1:9" x14ac:dyDescent="0.2">
      <c r="A1" s="70" t="s">
        <v>76</v>
      </c>
    </row>
    <row r="3" spans="1:9" x14ac:dyDescent="0.2">
      <c r="A3" s="73" t="s">
        <v>65</v>
      </c>
      <c r="B3" s="88" t="s">
        <v>0</v>
      </c>
      <c r="C3" s="88"/>
      <c r="D3" s="88" t="s">
        <v>30</v>
      </c>
      <c r="E3" s="88"/>
      <c r="F3" s="88" t="s">
        <v>31</v>
      </c>
      <c r="G3" s="88"/>
      <c r="H3" s="87" t="s">
        <v>18</v>
      </c>
      <c r="I3" s="87"/>
    </row>
    <row r="4" spans="1:9" x14ac:dyDescent="0.2">
      <c r="A4" s="73" t="s">
        <v>66</v>
      </c>
      <c r="B4" s="73" t="s">
        <v>67</v>
      </c>
      <c r="C4" s="73" t="s">
        <v>68</v>
      </c>
      <c r="D4" s="73" t="s">
        <v>67</v>
      </c>
      <c r="E4" s="73" t="s">
        <v>68</v>
      </c>
      <c r="F4" s="73" t="s">
        <v>67</v>
      </c>
      <c r="G4" s="73" t="s">
        <v>68</v>
      </c>
      <c r="H4" s="74" t="s">
        <v>67</v>
      </c>
      <c r="I4" s="74" t="s">
        <v>68</v>
      </c>
    </row>
    <row r="5" spans="1:9" x14ac:dyDescent="0.2">
      <c r="A5" s="38" t="s">
        <v>36</v>
      </c>
      <c r="B5" s="69">
        <v>2832</v>
      </c>
      <c r="C5" s="49">
        <f>B5/91311</f>
        <v>3.1014883201366757E-2</v>
      </c>
      <c r="D5" s="69">
        <v>230506</v>
      </c>
      <c r="E5" s="49">
        <f>D5/727164</f>
        <v>0.31699314047450095</v>
      </c>
      <c r="F5" s="69">
        <v>22</v>
      </c>
      <c r="G5" s="49">
        <f>F5/4549</f>
        <v>4.8362277423609585E-3</v>
      </c>
      <c r="H5" s="42">
        <f>B5+D5+F5</f>
        <v>233360</v>
      </c>
      <c r="I5" s="50">
        <f>H5/823024</f>
        <v>0.28353972666653704</v>
      </c>
    </row>
    <row r="6" spans="1:9" x14ac:dyDescent="0.2">
      <c r="A6" s="38" t="s">
        <v>37</v>
      </c>
      <c r="B6" s="69">
        <v>86906</v>
      </c>
      <c r="C6" s="49">
        <f t="shared" ref="C6:C21" si="0">B6/91311</f>
        <v>0.95175827665889101</v>
      </c>
      <c r="D6" s="69">
        <v>447468</v>
      </c>
      <c r="E6" s="49">
        <f t="shared" ref="E6:E21" si="1">D6/727164</f>
        <v>0.61536049639421098</v>
      </c>
      <c r="F6" s="69">
        <v>4506</v>
      </c>
      <c r="G6" s="49">
        <f t="shared" ref="G6:G20" si="2">F6/4549</f>
        <v>0.99054737304902174</v>
      </c>
      <c r="H6" s="42">
        <f t="shared" ref="H6:H20" si="3">B6+D6+F6</f>
        <v>538880</v>
      </c>
      <c r="I6" s="50">
        <f t="shared" ref="I6:I21" si="4">H6/823024</f>
        <v>0.65475611889811236</v>
      </c>
    </row>
    <row r="7" spans="1:9" x14ac:dyDescent="0.2">
      <c r="A7" s="38" t="s">
        <v>38</v>
      </c>
      <c r="B7" s="69">
        <v>13</v>
      </c>
      <c r="C7" s="49">
        <f t="shared" si="0"/>
        <v>1.423705796672909E-4</v>
      </c>
      <c r="D7" s="69">
        <v>6</v>
      </c>
      <c r="E7" s="49">
        <f t="shared" si="1"/>
        <v>8.2512335594171334E-6</v>
      </c>
      <c r="F7" s="69">
        <v>0</v>
      </c>
      <c r="G7" s="49">
        <f t="shared" si="2"/>
        <v>0</v>
      </c>
      <c r="H7" s="42">
        <f t="shared" si="3"/>
        <v>19</v>
      </c>
      <c r="I7" s="50">
        <f t="shared" si="4"/>
        <v>2.3085596531814383E-5</v>
      </c>
    </row>
    <row r="8" spans="1:9" x14ac:dyDescent="0.2">
      <c r="A8" s="38" t="s">
        <v>39</v>
      </c>
      <c r="B8" s="69">
        <v>0</v>
      </c>
      <c r="C8" s="49">
        <f t="shared" si="0"/>
        <v>0</v>
      </c>
      <c r="D8" s="69">
        <v>111</v>
      </c>
      <c r="E8" s="49">
        <f t="shared" si="1"/>
        <v>1.5264782084921697E-4</v>
      </c>
      <c r="F8" s="69">
        <v>0</v>
      </c>
      <c r="G8" s="49">
        <f t="shared" si="2"/>
        <v>0</v>
      </c>
      <c r="H8" s="42">
        <f t="shared" si="3"/>
        <v>111</v>
      </c>
      <c r="I8" s="50">
        <f t="shared" si="4"/>
        <v>1.3486848500165243E-4</v>
      </c>
    </row>
    <row r="9" spans="1:9" x14ac:dyDescent="0.2">
      <c r="A9" s="38" t="s">
        <v>40</v>
      </c>
      <c r="B9" s="69">
        <v>0</v>
      </c>
      <c r="C9" s="49">
        <f t="shared" si="0"/>
        <v>0</v>
      </c>
      <c r="D9" s="69">
        <v>23</v>
      </c>
      <c r="E9" s="49">
        <f t="shared" si="1"/>
        <v>3.1629728644432346E-5</v>
      </c>
      <c r="F9" s="69">
        <v>0</v>
      </c>
      <c r="G9" s="49">
        <f t="shared" si="2"/>
        <v>0</v>
      </c>
      <c r="H9" s="42">
        <f t="shared" si="3"/>
        <v>23</v>
      </c>
      <c r="I9" s="50">
        <f t="shared" si="4"/>
        <v>2.7945722117459515E-5</v>
      </c>
    </row>
    <row r="10" spans="1:9" x14ac:dyDescent="0.2">
      <c r="A10" s="38" t="s">
        <v>41</v>
      </c>
      <c r="B10" s="69">
        <v>14</v>
      </c>
      <c r="C10" s="49">
        <f t="shared" si="0"/>
        <v>1.5332216271862097E-4</v>
      </c>
      <c r="D10" s="69">
        <v>658</v>
      </c>
      <c r="E10" s="49">
        <f t="shared" si="1"/>
        <v>9.0488528034941222E-4</v>
      </c>
      <c r="F10" s="69">
        <v>8</v>
      </c>
      <c r="G10" s="49">
        <f t="shared" si="2"/>
        <v>1.7586282699494395E-3</v>
      </c>
      <c r="H10" s="42">
        <f t="shared" si="3"/>
        <v>680</v>
      </c>
      <c r="I10" s="50">
        <f t="shared" si="4"/>
        <v>8.2622134955967258E-4</v>
      </c>
    </row>
    <row r="11" spans="1:9" x14ac:dyDescent="0.2">
      <c r="A11" s="38" t="s">
        <v>42</v>
      </c>
      <c r="B11" s="69">
        <v>0</v>
      </c>
      <c r="C11" s="49">
        <f t="shared" si="0"/>
        <v>0</v>
      </c>
      <c r="D11" s="69">
        <v>0</v>
      </c>
      <c r="E11" s="49">
        <f t="shared" si="1"/>
        <v>0</v>
      </c>
      <c r="F11" s="69">
        <v>0</v>
      </c>
      <c r="G11" s="49">
        <f t="shared" si="2"/>
        <v>0</v>
      </c>
      <c r="H11" s="42">
        <f t="shared" si="3"/>
        <v>0</v>
      </c>
      <c r="I11" s="50">
        <f t="shared" si="4"/>
        <v>0</v>
      </c>
    </row>
    <row r="12" spans="1:9" x14ac:dyDescent="0.2">
      <c r="A12" s="38" t="s">
        <v>43</v>
      </c>
      <c r="B12" s="69">
        <v>935</v>
      </c>
      <c r="C12" s="49">
        <f t="shared" si="0"/>
        <v>1.0239730152993615E-2</v>
      </c>
      <c r="D12" s="69">
        <v>27828</v>
      </c>
      <c r="E12" s="49">
        <f t="shared" si="1"/>
        <v>3.8269221248576665E-2</v>
      </c>
      <c r="F12" s="69">
        <v>4</v>
      </c>
      <c r="G12" s="49">
        <f t="shared" si="2"/>
        <v>8.7931413497471973E-4</v>
      </c>
      <c r="H12" s="42">
        <f t="shared" si="3"/>
        <v>28767</v>
      </c>
      <c r="I12" s="50">
        <f t="shared" si="4"/>
        <v>3.4952808180563386E-2</v>
      </c>
    </row>
    <row r="13" spans="1:9" x14ac:dyDescent="0.2">
      <c r="A13" s="38" t="s">
        <v>44</v>
      </c>
      <c r="B13" s="69">
        <v>13</v>
      </c>
      <c r="C13" s="49">
        <f t="shared" si="0"/>
        <v>1.423705796672909E-4</v>
      </c>
      <c r="D13" s="69">
        <v>5</v>
      </c>
      <c r="E13" s="49">
        <f t="shared" si="1"/>
        <v>6.8760279661809439E-6</v>
      </c>
      <c r="F13" s="69">
        <v>2</v>
      </c>
      <c r="G13" s="49">
        <f t="shared" si="2"/>
        <v>4.3965706748735987E-4</v>
      </c>
      <c r="H13" s="42">
        <f t="shared" si="3"/>
        <v>20</v>
      </c>
      <c r="I13" s="50">
        <f t="shared" si="4"/>
        <v>2.4300627928225666E-5</v>
      </c>
    </row>
    <row r="14" spans="1:9" x14ac:dyDescent="0.2">
      <c r="A14" s="38" t="s">
        <v>45</v>
      </c>
      <c r="B14" s="69">
        <v>536</v>
      </c>
      <c r="C14" s="49">
        <f t="shared" si="0"/>
        <v>5.8700485155129172E-3</v>
      </c>
      <c r="D14" s="69">
        <v>20323</v>
      </c>
      <c r="E14" s="49">
        <f t="shared" si="1"/>
        <v>2.7948303271339067E-2</v>
      </c>
      <c r="F14" s="69">
        <v>0</v>
      </c>
      <c r="G14" s="49">
        <f t="shared" si="2"/>
        <v>0</v>
      </c>
      <c r="H14" s="42">
        <f t="shared" si="3"/>
        <v>20859</v>
      </c>
      <c r="I14" s="50">
        <f t="shared" si="4"/>
        <v>2.5344339897742957E-2</v>
      </c>
    </row>
    <row r="15" spans="1:9" x14ac:dyDescent="0.2">
      <c r="A15" s="38" t="s">
        <v>46</v>
      </c>
      <c r="B15" s="69">
        <v>8</v>
      </c>
      <c r="C15" s="49">
        <f t="shared" si="0"/>
        <v>8.761266441064056E-5</v>
      </c>
      <c r="D15" s="69">
        <v>157</v>
      </c>
      <c r="E15" s="49">
        <f t="shared" si="1"/>
        <v>2.1590727813808165E-4</v>
      </c>
      <c r="F15" s="69">
        <v>0</v>
      </c>
      <c r="G15" s="49">
        <f t="shared" si="2"/>
        <v>0</v>
      </c>
      <c r="H15" s="42">
        <f t="shared" si="3"/>
        <v>165</v>
      </c>
      <c r="I15" s="50">
        <f t="shared" si="4"/>
        <v>2.0048018040786175E-4</v>
      </c>
    </row>
    <row r="16" spans="1:9" x14ac:dyDescent="0.2">
      <c r="A16" s="38" t="s">
        <v>47</v>
      </c>
      <c r="B16" s="69">
        <v>9</v>
      </c>
      <c r="C16" s="49">
        <f t="shared" si="0"/>
        <v>9.8564247461970634E-5</v>
      </c>
      <c r="D16" s="69">
        <v>1</v>
      </c>
      <c r="E16" s="49">
        <f t="shared" si="1"/>
        <v>1.3752055932361888E-6</v>
      </c>
      <c r="F16" s="69">
        <v>0</v>
      </c>
      <c r="G16" s="49">
        <f t="shared" si="2"/>
        <v>0</v>
      </c>
      <c r="H16" s="42">
        <f t="shared" si="3"/>
        <v>10</v>
      </c>
      <c r="I16" s="50">
        <f t="shared" si="4"/>
        <v>1.2150313964112833E-5</v>
      </c>
    </row>
    <row r="17" spans="1:9" x14ac:dyDescent="0.2">
      <c r="A17" s="38" t="s">
        <v>48</v>
      </c>
      <c r="B17" s="69">
        <v>0</v>
      </c>
      <c r="C17" s="49">
        <f t="shared" si="0"/>
        <v>0</v>
      </c>
      <c r="D17" s="69">
        <v>0</v>
      </c>
      <c r="E17" s="49">
        <f t="shared" si="1"/>
        <v>0</v>
      </c>
      <c r="F17" s="69">
        <v>0</v>
      </c>
      <c r="G17" s="49">
        <f t="shared" si="2"/>
        <v>0</v>
      </c>
      <c r="H17" s="42">
        <f t="shared" si="3"/>
        <v>0</v>
      </c>
      <c r="I17" s="50">
        <f t="shared" si="4"/>
        <v>0</v>
      </c>
    </row>
    <row r="18" spans="1:9" x14ac:dyDescent="0.2">
      <c r="A18" s="38" t="s">
        <v>49</v>
      </c>
      <c r="B18" s="69">
        <v>13</v>
      </c>
      <c r="C18" s="49">
        <f t="shared" si="0"/>
        <v>1.423705796672909E-4</v>
      </c>
      <c r="D18" s="69">
        <v>15</v>
      </c>
      <c r="E18" s="49">
        <f t="shared" si="1"/>
        <v>2.0628083898542834E-5</v>
      </c>
      <c r="F18" s="69">
        <v>0</v>
      </c>
      <c r="G18" s="49">
        <f t="shared" si="2"/>
        <v>0</v>
      </c>
      <c r="H18" s="42">
        <f t="shared" si="3"/>
        <v>28</v>
      </c>
      <c r="I18" s="50">
        <f t="shared" si="4"/>
        <v>3.402087909951593E-5</v>
      </c>
    </row>
    <row r="19" spans="1:9" x14ac:dyDescent="0.2">
      <c r="A19" s="38" t="s">
        <v>50</v>
      </c>
      <c r="B19" s="69">
        <v>18</v>
      </c>
      <c r="C19" s="49">
        <f t="shared" si="0"/>
        <v>1.9712849492394127E-4</v>
      </c>
      <c r="D19" s="69">
        <v>50</v>
      </c>
      <c r="E19" s="49">
        <f t="shared" si="1"/>
        <v>6.8760279661809443E-5</v>
      </c>
      <c r="F19" s="69">
        <v>7</v>
      </c>
      <c r="G19" s="49">
        <f t="shared" si="2"/>
        <v>1.5387997362057595E-3</v>
      </c>
      <c r="H19" s="42">
        <f t="shared" si="3"/>
        <v>75</v>
      </c>
      <c r="I19" s="50">
        <f t="shared" si="4"/>
        <v>9.1127354730846243E-5</v>
      </c>
    </row>
    <row r="20" spans="1:9" x14ac:dyDescent="0.2">
      <c r="A20" s="38" t="s">
        <v>51</v>
      </c>
      <c r="B20" s="69">
        <v>14</v>
      </c>
      <c r="C20" s="49">
        <f t="shared" si="0"/>
        <v>1.5332216271862097E-4</v>
      </c>
      <c r="D20" s="69">
        <v>13</v>
      </c>
      <c r="E20" s="49">
        <f t="shared" si="1"/>
        <v>1.7877672712070455E-5</v>
      </c>
      <c r="F20" s="69">
        <v>0</v>
      </c>
      <c r="G20" s="49">
        <f t="shared" si="2"/>
        <v>0</v>
      </c>
      <c r="H20" s="42">
        <f t="shared" si="3"/>
        <v>27</v>
      </c>
      <c r="I20" s="50">
        <f t="shared" si="4"/>
        <v>3.2805847703104647E-5</v>
      </c>
    </row>
    <row r="21" spans="1:9" x14ac:dyDescent="0.2">
      <c r="A21" s="44" t="s">
        <v>18</v>
      </c>
      <c r="B21" s="44">
        <f>SUM(B5:B20)</f>
        <v>91311</v>
      </c>
      <c r="C21" s="50">
        <f t="shared" si="0"/>
        <v>1</v>
      </c>
      <c r="D21" s="44">
        <f>SUM(D5:D20)</f>
        <v>727164</v>
      </c>
      <c r="E21" s="50">
        <f t="shared" si="1"/>
        <v>1</v>
      </c>
      <c r="F21" s="44">
        <f>SUM(F5:F20)</f>
        <v>4549</v>
      </c>
      <c r="G21" s="50">
        <f>F21/4549</f>
        <v>1</v>
      </c>
      <c r="H21" s="44">
        <f>SUM(H5:H20)</f>
        <v>823024</v>
      </c>
      <c r="I21" s="50">
        <f t="shared" si="4"/>
        <v>1</v>
      </c>
    </row>
    <row r="24" spans="1:9" x14ac:dyDescent="0.2">
      <c r="A24" s="70" t="s">
        <v>77</v>
      </c>
    </row>
    <row r="26" spans="1:9" x14ac:dyDescent="0.2">
      <c r="A26" s="71" t="s">
        <v>65</v>
      </c>
      <c r="B26" s="88" t="s">
        <v>0</v>
      </c>
      <c r="C26" s="88"/>
      <c r="D26" s="88" t="s">
        <v>30</v>
      </c>
      <c r="E26" s="88"/>
      <c r="F26" s="88" t="s">
        <v>31</v>
      </c>
      <c r="G26" s="88"/>
      <c r="H26" s="87" t="s">
        <v>18</v>
      </c>
      <c r="I26" s="87"/>
    </row>
    <row r="27" spans="1:9" x14ac:dyDescent="0.2">
      <c r="A27" s="71" t="s">
        <v>66</v>
      </c>
      <c r="B27" s="71" t="s">
        <v>67</v>
      </c>
      <c r="C27" s="71" t="s">
        <v>68</v>
      </c>
      <c r="D27" s="71" t="s">
        <v>67</v>
      </c>
      <c r="E27" s="71" t="s">
        <v>68</v>
      </c>
      <c r="F27" s="71" t="s">
        <v>67</v>
      </c>
      <c r="G27" s="71" t="s">
        <v>68</v>
      </c>
      <c r="H27" s="72" t="s">
        <v>67</v>
      </c>
      <c r="I27" s="72" t="s">
        <v>68</v>
      </c>
    </row>
    <row r="28" spans="1:9" x14ac:dyDescent="0.2">
      <c r="A28" s="38" t="s">
        <v>36</v>
      </c>
      <c r="B28" s="69">
        <v>2968</v>
      </c>
      <c r="C28" s="49">
        <f>B28/92522</f>
        <v>3.2078856920516201E-2</v>
      </c>
      <c r="D28" s="69">
        <v>235064</v>
      </c>
      <c r="E28" s="49">
        <f>D28/728907</f>
        <v>0.32248832841501041</v>
      </c>
      <c r="F28" s="69">
        <v>21</v>
      </c>
      <c r="G28" s="49">
        <f>F28/4604</f>
        <v>4.5612510860121632E-3</v>
      </c>
      <c r="H28" s="42">
        <f>B28+D28+F28</f>
        <v>238053</v>
      </c>
      <c r="I28" s="50">
        <f>H28/826033</f>
        <v>0.28818824429532475</v>
      </c>
    </row>
    <row r="29" spans="1:9" x14ac:dyDescent="0.2">
      <c r="A29" s="38" t="s">
        <v>37</v>
      </c>
      <c r="B29" s="69">
        <v>87906</v>
      </c>
      <c r="C29" s="49">
        <f t="shared" ref="C29:C44" si="5">B29/92522</f>
        <v>0.95010916322604355</v>
      </c>
      <c r="D29" s="69">
        <v>443697</v>
      </c>
      <c r="E29" s="49">
        <f t="shared" ref="E29:E44" si="6">D29/728907</f>
        <v>0.60871551514802302</v>
      </c>
      <c r="F29" s="69">
        <v>4558</v>
      </c>
      <c r="G29" s="49">
        <f t="shared" ref="G29:G44" si="7">F29/4604</f>
        <v>0.99000868809730669</v>
      </c>
      <c r="H29" s="42">
        <f t="shared" ref="H29:H43" si="8">B29+D29+F29</f>
        <v>536161</v>
      </c>
      <c r="I29" s="50">
        <f t="shared" ref="I29:I44" si="9">H29/826033</f>
        <v>0.64907939513312418</v>
      </c>
    </row>
    <row r="30" spans="1:9" x14ac:dyDescent="0.2">
      <c r="A30" s="38" t="s">
        <v>38</v>
      </c>
      <c r="B30" s="69">
        <v>13</v>
      </c>
      <c r="C30" s="49">
        <f t="shared" si="5"/>
        <v>1.4050712263029335E-4</v>
      </c>
      <c r="D30" s="69">
        <v>6</v>
      </c>
      <c r="E30" s="49">
        <f t="shared" si="6"/>
        <v>8.2315027843058168E-6</v>
      </c>
      <c r="F30" s="69">
        <v>0</v>
      </c>
      <c r="G30" s="49">
        <f t="shared" si="7"/>
        <v>0</v>
      </c>
      <c r="H30" s="42">
        <f t="shared" si="8"/>
        <v>19</v>
      </c>
      <c r="I30" s="50">
        <f t="shared" si="9"/>
        <v>2.3001502361285809E-5</v>
      </c>
    </row>
    <row r="31" spans="1:9" x14ac:dyDescent="0.2">
      <c r="A31" s="38" t="s">
        <v>39</v>
      </c>
      <c r="B31" s="69">
        <v>0</v>
      </c>
      <c r="C31" s="49">
        <f t="shared" si="5"/>
        <v>0</v>
      </c>
      <c r="D31" s="69">
        <v>96</v>
      </c>
      <c r="E31" s="49">
        <f t="shared" si="6"/>
        <v>1.3170404454889307E-4</v>
      </c>
      <c r="F31" s="69">
        <v>0</v>
      </c>
      <c r="G31" s="49">
        <f t="shared" si="7"/>
        <v>0</v>
      </c>
      <c r="H31" s="42">
        <f t="shared" si="8"/>
        <v>96</v>
      </c>
      <c r="I31" s="50">
        <f t="shared" si="9"/>
        <v>1.1621811719386513E-4</v>
      </c>
    </row>
    <row r="32" spans="1:9" x14ac:dyDescent="0.2">
      <c r="A32" s="38" t="s">
        <v>40</v>
      </c>
      <c r="B32" s="69">
        <v>0</v>
      </c>
      <c r="C32" s="49">
        <f t="shared" si="5"/>
        <v>0</v>
      </c>
      <c r="D32" s="69">
        <v>20</v>
      </c>
      <c r="E32" s="49">
        <f t="shared" si="6"/>
        <v>2.7438342614352722E-5</v>
      </c>
      <c r="F32" s="69">
        <v>0</v>
      </c>
      <c r="G32" s="49">
        <f t="shared" si="7"/>
        <v>0</v>
      </c>
      <c r="H32" s="42">
        <f t="shared" si="8"/>
        <v>20</v>
      </c>
      <c r="I32" s="50">
        <f t="shared" si="9"/>
        <v>2.4212107748721903E-5</v>
      </c>
    </row>
    <row r="33" spans="1:9" x14ac:dyDescent="0.2">
      <c r="A33" s="38" t="s">
        <v>41</v>
      </c>
      <c r="B33" s="69">
        <v>14</v>
      </c>
      <c r="C33" s="49">
        <f t="shared" si="5"/>
        <v>1.513153628326236E-4</v>
      </c>
      <c r="D33" s="69">
        <v>589</v>
      </c>
      <c r="E33" s="49">
        <f t="shared" si="6"/>
        <v>8.0805918999268768E-4</v>
      </c>
      <c r="F33" s="69">
        <v>8</v>
      </c>
      <c r="G33" s="49">
        <f t="shared" si="7"/>
        <v>1.7376194613379669E-3</v>
      </c>
      <c r="H33" s="42">
        <f t="shared" si="8"/>
        <v>611</v>
      </c>
      <c r="I33" s="50">
        <f t="shared" si="9"/>
        <v>7.3967989172345411E-4</v>
      </c>
    </row>
    <row r="34" spans="1:9" x14ac:dyDescent="0.2">
      <c r="A34" s="38" t="s">
        <v>42</v>
      </c>
      <c r="B34" s="69">
        <v>0</v>
      </c>
      <c r="C34" s="49">
        <f t="shared" si="5"/>
        <v>0</v>
      </c>
      <c r="D34" s="69">
        <v>0</v>
      </c>
      <c r="E34" s="49">
        <f t="shared" si="6"/>
        <v>0</v>
      </c>
      <c r="F34" s="69">
        <v>0</v>
      </c>
      <c r="G34" s="49">
        <f t="shared" si="7"/>
        <v>0</v>
      </c>
      <c r="H34" s="42">
        <f t="shared" si="8"/>
        <v>0</v>
      </c>
      <c r="I34" s="50">
        <f t="shared" si="9"/>
        <v>0</v>
      </c>
    </row>
    <row r="35" spans="1:9" x14ac:dyDescent="0.2">
      <c r="A35" s="38" t="s">
        <v>43</v>
      </c>
      <c r="B35" s="69">
        <v>1015</v>
      </c>
      <c r="C35" s="49">
        <f t="shared" si="5"/>
        <v>1.0970363805365211E-2</v>
      </c>
      <c r="D35" s="69">
        <v>29361</v>
      </c>
      <c r="E35" s="49">
        <f t="shared" si="6"/>
        <v>4.0280858875000512E-2</v>
      </c>
      <c r="F35" s="69">
        <v>5</v>
      </c>
      <c r="G35" s="49">
        <f t="shared" si="7"/>
        <v>1.0860121633362294E-3</v>
      </c>
      <c r="H35" s="42">
        <f t="shared" si="8"/>
        <v>30381</v>
      </c>
      <c r="I35" s="50">
        <f t="shared" si="9"/>
        <v>3.677940227569601E-2</v>
      </c>
    </row>
    <row r="36" spans="1:9" x14ac:dyDescent="0.2">
      <c r="A36" s="38" t="s">
        <v>44</v>
      </c>
      <c r="B36" s="69">
        <v>13</v>
      </c>
      <c r="C36" s="49">
        <f t="shared" si="5"/>
        <v>1.4050712263029335E-4</v>
      </c>
      <c r="D36" s="69">
        <v>5</v>
      </c>
      <c r="E36" s="49">
        <f t="shared" si="6"/>
        <v>6.8595856535881804E-6</v>
      </c>
      <c r="F36" s="69">
        <v>3</v>
      </c>
      <c r="G36" s="49">
        <f t="shared" si="7"/>
        <v>6.5160729800173766E-4</v>
      </c>
      <c r="H36" s="42">
        <f t="shared" si="8"/>
        <v>21</v>
      </c>
      <c r="I36" s="50">
        <f t="shared" si="9"/>
        <v>2.5422713136157997E-5</v>
      </c>
    </row>
    <row r="37" spans="1:9" x14ac:dyDescent="0.2">
      <c r="A37" s="38" t="s">
        <v>45</v>
      </c>
      <c r="B37" s="69">
        <v>531</v>
      </c>
      <c r="C37" s="49">
        <f t="shared" si="5"/>
        <v>5.7391755474373663E-3</v>
      </c>
      <c r="D37" s="69">
        <v>19843</v>
      </c>
      <c r="E37" s="49">
        <f t="shared" si="6"/>
        <v>2.7222951624830054E-2</v>
      </c>
      <c r="F37" s="69">
        <v>2</v>
      </c>
      <c r="G37" s="49">
        <f t="shared" si="7"/>
        <v>4.3440486533449172E-4</v>
      </c>
      <c r="H37" s="42">
        <f t="shared" si="8"/>
        <v>20376</v>
      </c>
      <c r="I37" s="50">
        <f t="shared" si="9"/>
        <v>2.4667295374397876E-2</v>
      </c>
    </row>
    <row r="38" spans="1:9" x14ac:dyDescent="0.2">
      <c r="A38" s="38" t="s">
        <v>46</v>
      </c>
      <c r="B38" s="69">
        <v>6</v>
      </c>
      <c r="C38" s="49">
        <f t="shared" si="5"/>
        <v>6.4849441213981544E-5</v>
      </c>
      <c r="D38" s="69">
        <v>151</v>
      </c>
      <c r="E38" s="49">
        <f t="shared" si="6"/>
        <v>2.0715948673836305E-4</v>
      </c>
      <c r="F38" s="69">
        <v>0</v>
      </c>
      <c r="G38" s="49">
        <f t="shared" si="7"/>
        <v>0</v>
      </c>
      <c r="H38" s="42">
        <f t="shared" si="8"/>
        <v>157</v>
      </c>
      <c r="I38" s="50">
        <f t="shared" si="9"/>
        <v>1.9006504582746693E-4</v>
      </c>
    </row>
    <row r="39" spans="1:9" x14ac:dyDescent="0.2">
      <c r="A39" s="38" t="s">
        <v>47</v>
      </c>
      <c r="B39" s="69">
        <v>11</v>
      </c>
      <c r="C39" s="49">
        <f t="shared" si="5"/>
        <v>1.1889064222563282E-4</v>
      </c>
      <c r="D39" s="69">
        <v>2</v>
      </c>
      <c r="E39" s="49">
        <f t="shared" si="6"/>
        <v>2.7438342614352724E-6</v>
      </c>
      <c r="F39" s="69">
        <v>0</v>
      </c>
      <c r="G39" s="49">
        <f t="shared" si="7"/>
        <v>0</v>
      </c>
      <c r="H39" s="42">
        <f t="shared" si="8"/>
        <v>13</v>
      </c>
      <c r="I39" s="50">
        <f t="shared" si="9"/>
        <v>1.5737870036669237E-5</v>
      </c>
    </row>
    <row r="40" spans="1:9" x14ac:dyDescent="0.2">
      <c r="A40" s="38" t="s">
        <v>48</v>
      </c>
      <c r="B40" s="69">
        <v>0</v>
      </c>
      <c r="C40" s="49">
        <f t="shared" si="5"/>
        <v>0</v>
      </c>
      <c r="D40" s="69">
        <v>0</v>
      </c>
      <c r="E40" s="49">
        <f t="shared" si="6"/>
        <v>0</v>
      </c>
      <c r="F40" s="69">
        <v>0</v>
      </c>
      <c r="G40" s="49">
        <f t="shared" si="7"/>
        <v>0</v>
      </c>
      <c r="H40" s="42">
        <f t="shared" si="8"/>
        <v>0</v>
      </c>
      <c r="I40" s="50">
        <f t="shared" si="9"/>
        <v>0</v>
      </c>
    </row>
    <row r="41" spans="1:9" x14ac:dyDescent="0.2">
      <c r="A41" s="38" t="s">
        <v>49</v>
      </c>
      <c r="B41" s="69">
        <v>13</v>
      </c>
      <c r="C41" s="49">
        <f t="shared" si="5"/>
        <v>1.4050712263029335E-4</v>
      </c>
      <c r="D41" s="69">
        <v>15</v>
      </c>
      <c r="E41" s="49">
        <f t="shared" si="6"/>
        <v>2.0578756960764542E-5</v>
      </c>
      <c r="F41" s="69">
        <v>0</v>
      </c>
      <c r="G41" s="49">
        <f t="shared" si="7"/>
        <v>0</v>
      </c>
      <c r="H41" s="42">
        <f t="shared" si="8"/>
        <v>28</v>
      </c>
      <c r="I41" s="50">
        <f t="shared" si="9"/>
        <v>3.3896950848210663E-5</v>
      </c>
    </row>
    <row r="42" spans="1:9" x14ac:dyDescent="0.2">
      <c r="A42" s="38" t="s">
        <v>50</v>
      </c>
      <c r="B42" s="69">
        <v>18</v>
      </c>
      <c r="C42" s="49">
        <f t="shared" si="5"/>
        <v>1.9454832364194461E-4</v>
      </c>
      <c r="D42" s="69">
        <v>45</v>
      </c>
      <c r="E42" s="49">
        <f t="shared" si="6"/>
        <v>6.1736270882293626E-5</v>
      </c>
      <c r="F42" s="69">
        <v>7</v>
      </c>
      <c r="G42" s="49">
        <f t="shared" si="7"/>
        <v>1.5204170286707212E-3</v>
      </c>
      <c r="H42" s="42">
        <f t="shared" si="8"/>
        <v>70</v>
      </c>
      <c r="I42" s="50">
        <f t="shared" si="9"/>
        <v>8.4742377120526657E-5</v>
      </c>
    </row>
    <row r="43" spans="1:9" x14ac:dyDescent="0.2">
      <c r="A43" s="38" t="s">
        <v>51</v>
      </c>
      <c r="B43" s="69">
        <v>14</v>
      </c>
      <c r="C43" s="49">
        <f t="shared" si="5"/>
        <v>1.513153628326236E-4</v>
      </c>
      <c r="D43" s="69">
        <v>13</v>
      </c>
      <c r="E43" s="49">
        <f t="shared" si="6"/>
        <v>1.7834922699329271E-5</v>
      </c>
      <c r="F43" s="69">
        <v>0</v>
      </c>
      <c r="G43" s="49">
        <f t="shared" si="7"/>
        <v>0</v>
      </c>
      <c r="H43" s="42">
        <f t="shared" si="8"/>
        <v>27</v>
      </c>
      <c r="I43" s="50">
        <f t="shared" si="9"/>
        <v>3.2686345460774569E-5</v>
      </c>
    </row>
    <row r="44" spans="1:9" x14ac:dyDescent="0.2">
      <c r="A44" s="44" t="s">
        <v>18</v>
      </c>
      <c r="B44" s="44">
        <f>SUM(B28:B43)</f>
        <v>92522</v>
      </c>
      <c r="C44" s="50">
        <f t="shared" si="5"/>
        <v>1</v>
      </c>
      <c r="D44" s="44">
        <f>SUM(D28:D43)</f>
        <v>728907</v>
      </c>
      <c r="E44" s="50">
        <f t="shared" si="6"/>
        <v>1</v>
      </c>
      <c r="F44" s="44">
        <f>SUM(F28:F43)</f>
        <v>4604</v>
      </c>
      <c r="G44" s="50">
        <f t="shared" si="7"/>
        <v>1</v>
      </c>
      <c r="H44" s="44">
        <f>SUM(H28:H43)</f>
        <v>826033</v>
      </c>
      <c r="I44" s="50">
        <f t="shared" si="9"/>
        <v>1</v>
      </c>
    </row>
    <row r="47" spans="1:9" x14ac:dyDescent="0.2">
      <c r="A47" s="70" t="s">
        <v>79</v>
      </c>
    </row>
    <row r="49" spans="1:9" x14ac:dyDescent="0.2">
      <c r="A49" s="67" t="s">
        <v>65</v>
      </c>
      <c r="B49" s="88" t="s">
        <v>0</v>
      </c>
      <c r="C49" s="88"/>
      <c r="D49" s="88" t="s">
        <v>30</v>
      </c>
      <c r="E49" s="88"/>
      <c r="F49" s="88" t="s">
        <v>31</v>
      </c>
      <c r="G49" s="88"/>
      <c r="H49" s="87" t="s">
        <v>18</v>
      </c>
      <c r="I49" s="87"/>
    </row>
    <row r="50" spans="1:9" x14ac:dyDescent="0.2">
      <c r="A50" s="67" t="s">
        <v>66</v>
      </c>
      <c r="B50" s="67" t="s">
        <v>67</v>
      </c>
      <c r="C50" s="67" t="s">
        <v>68</v>
      </c>
      <c r="D50" s="67" t="s">
        <v>67</v>
      </c>
      <c r="E50" s="67" t="s">
        <v>68</v>
      </c>
      <c r="F50" s="67" t="s">
        <v>67</v>
      </c>
      <c r="G50" s="67" t="s">
        <v>68</v>
      </c>
      <c r="H50" s="68" t="s">
        <v>67</v>
      </c>
      <c r="I50" s="68" t="s">
        <v>68</v>
      </c>
    </row>
    <row r="51" spans="1:9" x14ac:dyDescent="0.2">
      <c r="A51" s="38" t="s">
        <v>36</v>
      </c>
      <c r="B51" s="69">
        <v>2994</v>
      </c>
      <c r="C51" s="49">
        <f>B51/91660</f>
        <v>3.2664193759546149E-2</v>
      </c>
      <c r="D51" s="69">
        <v>236495</v>
      </c>
      <c r="E51" s="49">
        <f>D51/721467</f>
        <v>0.32779739059444163</v>
      </c>
      <c r="F51" s="69">
        <v>21</v>
      </c>
      <c r="G51" s="49">
        <f>F51/4627</f>
        <v>4.5385779122541605E-3</v>
      </c>
      <c r="H51" s="42">
        <f>B51+D51+F51</f>
        <v>239510</v>
      </c>
      <c r="I51" s="50">
        <f>H51/817754</f>
        <v>0.29288759211205329</v>
      </c>
    </row>
    <row r="52" spans="1:9" x14ac:dyDescent="0.2">
      <c r="A52" s="38" t="s">
        <v>37</v>
      </c>
      <c r="B52" s="69">
        <v>87014</v>
      </c>
      <c r="C52" s="49">
        <f t="shared" ref="C52:C67" si="10">B52/91660</f>
        <v>0.94931267728562074</v>
      </c>
      <c r="D52" s="69">
        <v>434281</v>
      </c>
      <c r="E52" s="49">
        <f t="shared" ref="E52:E67" si="11">D52/721467</f>
        <v>0.60194159954647963</v>
      </c>
      <c r="F52" s="69">
        <v>4584</v>
      </c>
      <c r="G52" s="49">
        <f t="shared" ref="G52:G67" si="12">F52/4627</f>
        <v>0.99070672141776528</v>
      </c>
      <c r="H52" s="42">
        <f t="shared" ref="H52:H66" si="13">B52+D52+F52</f>
        <v>525879</v>
      </c>
      <c r="I52" s="50">
        <f t="shared" ref="I52:I67" si="14">H52/817754</f>
        <v>0.64307725795288073</v>
      </c>
    </row>
    <row r="53" spans="1:9" x14ac:dyDescent="0.2">
      <c r="A53" s="38" t="s">
        <v>38</v>
      </c>
      <c r="B53" s="69">
        <v>14</v>
      </c>
      <c r="C53" s="49">
        <f t="shared" si="10"/>
        <v>1.5273838097316168E-4</v>
      </c>
      <c r="D53" s="69">
        <v>6</v>
      </c>
      <c r="E53" s="49">
        <f t="shared" si="11"/>
        <v>8.3163886913746574E-6</v>
      </c>
      <c r="F53" s="69">
        <v>0</v>
      </c>
      <c r="G53" s="49">
        <f t="shared" si="12"/>
        <v>0</v>
      </c>
      <c r="H53" s="42">
        <f t="shared" si="13"/>
        <v>20</v>
      </c>
      <c r="I53" s="50">
        <f t="shared" si="14"/>
        <v>2.4457232859759781E-5</v>
      </c>
    </row>
    <row r="54" spans="1:9" x14ac:dyDescent="0.2">
      <c r="A54" s="38" t="s">
        <v>39</v>
      </c>
      <c r="B54" s="69">
        <v>0</v>
      </c>
      <c r="C54" s="49">
        <f t="shared" si="10"/>
        <v>0</v>
      </c>
      <c r="D54" s="69">
        <v>90</v>
      </c>
      <c r="E54" s="49">
        <f t="shared" si="11"/>
        <v>1.2474583037061987E-4</v>
      </c>
      <c r="F54" s="69">
        <v>0</v>
      </c>
      <c r="G54" s="49">
        <f t="shared" si="12"/>
        <v>0</v>
      </c>
      <c r="H54" s="42">
        <f t="shared" si="13"/>
        <v>90</v>
      </c>
      <c r="I54" s="50">
        <f t="shared" si="14"/>
        <v>1.1005754786891902E-4</v>
      </c>
    </row>
    <row r="55" spans="1:9" x14ac:dyDescent="0.2">
      <c r="A55" s="38" t="s">
        <v>40</v>
      </c>
      <c r="B55" s="69">
        <v>0</v>
      </c>
      <c r="C55" s="49">
        <f t="shared" si="10"/>
        <v>0</v>
      </c>
      <c r="D55" s="69">
        <v>15</v>
      </c>
      <c r="E55" s="49">
        <f t="shared" si="11"/>
        <v>2.0790971728436644E-5</v>
      </c>
      <c r="F55" s="69">
        <v>0</v>
      </c>
      <c r="G55" s="49">
        <f t="shared" si="12"/>
        <v>0</v>
      </c>
      <c r="H55" s="42">
        <f t="shared" si="13"/>
        <v>15</v>
      </c>
      <c r="I55" s="50">
        <f t="shared" si="14"/>
        <v>1.8342924644819836E-5</v>
      </c>
    </row>
    <row r="56" spans="1:9" x14ac:dyDescent="0.2">
      <c r="A56" s="38" t="s">
        <v>41</v>
      </c>
      <c r="B56" s="69">
        <v>14</v>
      </c>
      <c r="C56" s="49">
        <f t="shared" si="10"/>
        <v>1.5273838097316168E-4</v>
      </c>
      <c r="D56" s="69">
        <v>518</v>
      </c>
      <c r="E56" s="49">
        <f t="shared" si="11"/>
        <v>7.1798155702201209E-4</v>
      </c>
      <c r="F56" s="69">
        <v>5</v>
      </c>
      <c r="G56" s="49">
        <f t="shared" si="12"/>
        <v>1.080613788631943E-3</v>
      </c>
      <c r="H56" s="42">
        <f t="shared" si="13"/>
        <v>537</v>
      </c>
      <c r="I56" s="50">
        <f t="shared" si="14"/>
        <v>6.5667670228455009E-4</v>
      </c>
    </row>
    <row r="57" spans="1:9" x14ac:dyDescent="0.2">
      <c r="A57" s="38" t="s">
        <v>42</v>
      </c>
      <c r="B57" s="69">
        <v>0</v>
      </c>
      <c r="C57" s="49">
        <f t="shared" si="10"/>
        <v>0</v>
      </c>
      <c r="D57" s="69">
        <v>0</v>
      </c>
      <c r="E57" s="49">
        <f t="shared" si="11"/>
        <v>0</v>
      </c>
      <c r="F57" s="69">
        <v>0</v>
      </c>
      <c r="G57" s="49">
        <f t="shared" si="12"/>
        <v>0</v>
      </c>
      <c r="H57" s="42">
        <f t="shared" si="13"/>
        <v>0</v>
      </c>
      <c r="I57" s="50">
        <f t="shared" si="14"/>
        <v>0</v>
      </c>
    </row>
    <row r="58" spans="1:9" x14ac:dyDescent="0.2">
      <c r="A58" s="38" t="s">
        <v>43</v>
      </c>
      <c r="B58" s="69">
        <v>1045</v>
      </c>
      <c r="C58" s="49">
        <f t="shared" si="10"/>
        <v>1.1400829151210996E-2</v>
      </c>
      <c r="D58" s="69">
        <v>30726</v>
      </c>
      <c r="E58" s="49">
        <f t="shared" si="11"/>
        <v>4.2588226488529619E-2</v>
      </c>
      <c r="F58" s="69">
        <v>5</v>
      </c>
      <c r="G58" s="49">
        <f t="shared" si="12"/>
        <v>1.080613788631943E-3</v>
      </c>
      <c r="H58" s="42">
        <f t="shared" si="13"/>
        <v>31776</v>
      </c>
      <c r="I58" s="50">
        <f t="shared" si="14"/>
        <v>3.8857651567586339E-2</v>
      </c>
    </row>
    <row r="59" spans="1:9" x14ac:dyDescent="0.2">
      <c r="A59" s="38" t="s">
        <v>44</v>
      </c>
      <c r="B59" s="69">
        <v>14</v>
      </c>
      <c r="C59" s="49">
        <f t="shared" si="10"/>
        <v>1.5273838097316168E-4</v>
      </c>
      <c r="D59" s="69">
        <v>5</v>
      </c>
      <c r="E59" s="49">
        <f t="shared" si="11"/>
        <v>6.9303239094788808E-6</v>
      </c>
      <c r="F59" s="69">
        <v>3</v>
      </c>
      <c r="G59" s="49">
        <f t="shared" si="12"/>
        <v>6.4836827317916578E-4</v>
      </c>
      <c r="H59" s="42">
        <f t="shared" si="13"/>
        <v>22</v>
      </c>
      <c r="I59" s="50">
        <f t="shared" si="14"/>
        <v>2.6902956145735758E-5</v>
      </c>
    </row>
    <row r="60" spans="1:9" x14ac:dyDescent="0.2">
      <c r="A60" s="38" t="s">
        <v>45</v>
      </c>
      <c r="B60" s="69">
        <v>503</v>
      </c>
      <c r="C60" s="49">
        <f t="shared" si="10"/>
        <v>5.4876718306785949E-3</v>
      </c>
      <c r="D60" s="69">
        <v>19123</v>
      </c>
      <c r="E60" s="49">
        <f t="shared" si="11"/>
        <v>2.6505716824192928E-2</v>
      </c>
      <c r="F60" s="69">
        <v>2</v>
      </c>
      <c r="G60" s="49">
        <f t="shared" si="12"/>
        <v>4.3224551545277719E-4</v>
      </c>
      <c r="H60" s="42">
        <f t="shared" si="13"/>
        <v>19628</v>
      </c>
      <c r="I60" s="50">
        <f t="shared" si="14"/>
        <v>2.4002328328568249E-2</v>
      </c>
    </row>
    <row r="61" spans="1:9" x14ac:dyDescent="0.2">
      <c r="A61" s="38" t="s">
        <v>46</v>
      </c>
      <c r="B61" s="69">
        <v>6</v>
      </c>
      <c r="C61" s="49">
        <f t="shared" si="10"/>
        <v>6.5459306131355005E-5</v>
      </c>
      <c r="D61" s="69">
        <v>145</v>
      </c>
      <c r="E61" s="49">
        <f t="shared" si="11"/>
        <v>2.0097939337488754E-4</v>
      </c>
      <c r="F61" s="69">
        <v>0</v>
      </c>
      <c r="G61" s="49">
        <f t="shared" si="12"/>
        <v>0</v>
      </c>
      <c r="H61" s="42">
        <f t="shared" si="13"/>
        <v>151</v>
      </c>
      <c r="I61" s="50">
        <f t="shared" si="14"/>
        <v>1.8465210809118636E-4</v>
      </c>
    </row>
    <row r="62" spans="1:9" x14ac:dyDescent="0.2">
      <c r="A62" s="38" t="s">
        <v>47</v>
      </c>
      <c r="B62" s="69">
        <v>12</v>
      </c>
      <c r="C62" s="49">
        <f t="shared" si="10"/>
        <v>1.3091861226271001E-4</v>
      </c>
      <c r="D62" s="69">
        <v>3</v>
      </c>
      <c r="E62" s="49">
        <f t="shared" si="11"/>
        <v>4.1581943456873287E-6</v>
      </c>
      <c r="F62" s="69">
        <v>0</v>
      </c>
      <c r="G62" s="49">
        <f t="shared" si="12"/>
        <v>0</v>
      </c>
      <c r="H62" s="42">
        <f t="shared" si="13"/>
        <v>15</v>
      </c>
      <c r="I62" s="50">
        <f t="shared" si="14"/>
        <v>1.8342924644819836E-5</v>
      </c>
    </row>
    <row r="63" spans="1:9" x14ac:dyDescent="0.2">
      <c r="A63" s="38" t="s">
        <v>48</v>
      </c>
      <c r="B63" s="69">
        <v>0</v>
      </c>
      <c r="C63" s="49">
        <f t="shared" si="10"/>
        <v>0</v>
      </c>
      <c r="D63" s="69">
        <v>0</v>
      </c>
      <c r="E63" s="49">
        <f t="shared" si="11"/>
        <v>0</v>
      </c>
      <c r="F63" s="69">
        <v>0</v>
      </c>
      <c r="G63" s="49">
        <f t="shared" si="12"/>
        <v>0</v>
      </c>
      <c r="H63" s="42">
        <f t="shared" si="13"/>
        <v>0</v>
      </c>
      <c r="I63" s="50">
        <f t="shared" si="14"/>
        <v>0</v>
      </c>
    </row>
    <row r="64" spans="1:9" x14ac:dyDescent="0.2">
      <c r="A64" s="38" t="s">
        <v>49</v>
      </c>
      <c r="B64" s="69">
        <v>13</v>
      </c>
      <c r="C64" s="49">
        <f t="shared" si="10"/>
        <v>1.4182849661793586E-4</v>
      </c>
      <c r="D64" s="69">
        <v>15</v>
      </c>
      <c r="E64" s="49">
        <f t="shared" si="11"/>
        <v>2.0790971728436644E-5</v>
      </c>
      <c r="F64" s="69">
        <v>0</v>
      </c>
      <c r="G64" s="49">
        <f t="shared" si="12"/>
        <v>0</v>
      </c>
      <c r="H64" s="42">
        <f t="shared" si="13"/>
        <v>28</v>
      </c>
      <c r="I64" s="50">
        <f t="shared" si="14"/>
        <v>3.4240126003663691E-5</v>
      </c>
    </row>
    <row r="65" spans="1:9" x14ac:dyDescent="0.2">
      <c r="A65" s="38" t="s">
        <v>50</v>
      </c>
      <c r="B65" s="69">
        <v>18</v>
      </c>
      <c r="C65" s="49">
        <f t="shared" si="10"/>
        <v>1.9637791839406503E-4</v>
      </c>
      <c r="D65" s="69">
        <v>32</v>
      </c>
      <c r="E65" s="49">
        <f t="shared" si="11"/>
        <v>4.4354073020664841E-5</v>
      </c>
      <c r="F65" s="69">
        <v>7</v>
      </c>
      <c r="G65" s="49">
        <f t="shared" si="12"/>
        <v>1.5128593040847202E-3</v>
      </c>
      <c r="H65" s="42">
        <f t="shared" si="13"/>
        <v>57</v>
      </c>
      <c r="I65" s="50">
        <f t="shared" si="14"/>
        <v>6.9703113650315375E-5</v>
      </c>
    </row>
    <row r="66" spans="1:9" x14ac:dyDescent="0.2">
      <c r="A66" s="38" t="s">
        <v>51</v>
      </c>
      <c r="B66" s="69">
        <v>13</v>
      </c>
      <c r="C66" s="49">
        <f t="shared" si="10"/>
        <v>1.4182849661793586E-4</v>
      </c>
      <c r="D66" s="69">
        <v>13</v>
      </c>
      <c r="E66" s="49">
        <f t="shared" si="11"/>
        <v>1.8018842164645091E-5</v>
      </c>
      <c r="F66" s="69">
        <v>0</v>
      </c>
      <c r="G66" s="49">
        <f t="shared" si="12"/>
        <v>0</v>
      </c>
      <c r="H66" s="42">
        <f t="shared" si="13"/>
        <v>26</v>
      </c>
      <c r="I66" s="50">
        <f t="shared" si="14"/>
        <v>3.1794402717687717E-5</v>
      </c>
    </row>
    <row r="67" spans="1:9" x14ac:dyDescent="0.2">
      <c r="A67" s="44" t="s">
        <v>18</v>
      </c>
      <c r="B67" s="42">
        <f>SUM(B51:B66)</f>
        <v>91660</v>
      </c>
      <c r="C67" s="50">
        <f t="shared" si="10"/>
        <v>1</v>
      </c>
      <c r="D67" s="42">
        <f t="shared" ref="D67:H67" si="15">SUM(D51:D66)</f>
        <v>721467</v>
      </c>
      <c r="E67" s="50">
        <f t="shared" si="11"/>
        <v>1</v>
      </c>
      <c r="F67" s="42">
        <f t="shared" si="15"/>
        <v>4627</v>
      </c>
      <c r="G67" s="50">
        <f t="shared" si="12"/>
        <v>1</v>
      </c>
      <c r="H67" s="42">
        <f t="shared" si="15"/>
        <v>817754</v>
      </c>
      <c r="I67" s="50">
        <f t="shared" si="14"/>
        <v>1</v>
      </c>
    </row>
    <row r="70" spans="1:9" x14ac:dyDescent="0.2">
      <c r="A70" s="70" t="s">
        <v>78</v>
      </c>
    </row>
    <row r="72" spans="1:9" x14ac:dyDescent="0.2">
      <c r="A72" s="65" t="s">
        <v>65</v>
      </c>
      <c r="B72" s="88" t="s">
        <v>0</v>
      </c>
      <c r="C72" s="88"/>
      <c r="D72" s="88" t="s">
        <v>30</v>
      </c>
      <c r="E72" s="88"/>
      <c r="F72" s="88" t="s">
        <v>31</v>
      </c>
      <c r="G72" s="88"/>
      <c r="H72" s="87" t="s">
        <v>18</v>
      </c>
      <c r="I72" s="87"/>
    </row>
    <row r="73" spans="1:9" x14ac:dyDescent="0.2">
      <c r="A73" s="65" t="s">
        <v>66</v>
      </c>
      <c r="B73" s="65" t="s">
        <v>67</v>
      </c>
      <c r="C73" s="65" t="s">
        <v>68</v>
      </c>
      <c r="D73" s="65" t="s">
        <v>67</v>
      </c>
      <c r="E73" s="65" t="s">
        <v>68</v>
      </c>
      <c r="F73" s="65" t="s">
        <v>67</v>
      </c>
      <c r="G73" s="65" t="s">
        <v>68</v>
      </c>
      <c r="H73" s="66" t="s">
        <v>67</v>
      </c>
      <c r="I73" s="66" t="s">
        <v>68</v>
      </c>
    </row>
    <row r="74" spans="1:9" x14ac:dyDescent="0.2">
      <c r="A74" s="38" t="s">
        <v>36</v>
      </c>
      <c r="B74" s="69">
        <v>3032</v>
      </c>
      <c r="C74" s="49">
        <f>B74/90061</f>
        <v>3.3666070774253008E-2</v>
      </c>
      <c r="D74" s="69">
        <v>236392</v>
      </c>
      <c r="E74" s="49">
        <f>D74/711536</f>
        <v>0.33222774392300602</v>
      </c>
      <c r="F74" s="39">
        <v>22</v>
      </c>
      <c r="G74" s="49">
        <f>F74/4639</f>
        <v>4.7424013796076737E-3</v>
      </c>
      <c r="H74" s="42">
        <f>B74+D74+F74</f>
        <v>239446</v>
      </c>
      <c r="I74" s="50">
        <f>H74/806236</f>
        <v>0.29699244389980106</v>
      </c>
    </row>
    <row r="75" spans="1:9" x14ac:dyDescent="0.2">
      <c r="A75" s="38" t="s">
        <v>37</v>
      </c>
      <c r="B75" s="69">
        <v>85401</v>
      </c>
      <c r="C75" s="49">
        <f t="shared" ref="C75:C90" si="16">B75/90061</f>
        <v>0.94825729227967714</v>
      </c>
      <c r="D75" s="69">
        <v>424270</v>
      </c>
      <c r="E75" s="49">
        <f t="shared" ref="E75:E90" si="17">D75/711536</f>
        <v>0.5962734141350543</v>
      </c>
      <c r="F75" s="39">
        <v>4597</v>
      </c>
      <c r="G75" s="49">
        <f t="shared" ref="G75:G90" si="18">F75/4639</f>
        <v>0.99094632463893084</v>
      </c>
      <c r="H75" s="42">
        <f t="shared" ref="H75:H89" si="19">B75+D75+F75</f>
        <v>514268</v>
      </c>
      <c r="I75" s="50">
        <f t="shared" ref="I75:I90" si="20">H75/806236</f>
        <v>0.63786285901398598</v>
      </c>
    </row>
    <row r="76" spans="1:9" x14ac:dyDescent="0.2">
      <c r="A76" s="38" t="s">
        <v>38</v>
      </c>
      <c r="B76" s="69">
        <v>15</v>
      </c>
      <c r="C76" s="49">
        <f t="shared" si="16"/>
        <v>1.6655378021563163E-4</v>
      </c>
      <c r="D76" s="69">
        <v>6</v>
      </c>
      <c r="E76" s="49">
        <f t="shared" si="17"/>
        <v>8.4324616041914957E-6</v>
      </c>
      <c r="F76" s="39">
        <v>0</v>
      </c>
      <c r="G76" s="49">
        <f t="shared" si="18"/>
        <v>0</v>
      </c>
      <c r="H76" s="42">
        <f t="shared" si="19"/>
        <v>21</v>
      </c>
      <c r="I76" s="50">
        <f t="shared" si="20"/>
        <v>2.6046963916272655E-5</v>
      </c>
    </row>
    <row r="77" spans="1:9" x14ac:dyDescent="0.2">
      <c r="A77" s="38" t="s">
        <v>39</v>
      </c>
      <c r="B77" s="69">
        <v>0</v>
      </c>
      <c r="C77" s="49">
        <f t="shared" si="16"/>
        <v>0</v>
      </c>
      <c r="D77" s="69">
        <v>85</v>
      </c>
      <c r="E77" s="49">
        <f t="shared" si="17"/>
        <v>1.1945987272604618E-4</v>
      </c>
      <c r="F77" s="39">
        <v>0</v>
      </c>
      <c r="G77" s="49">
        <f t="shared" si="18"/>
        <v>0</v>
      </c>
      <c r="H77" s="42">
        <f t="shared" si="19"/>
        <v>85</v>
      </c>
      <c r="I77" s="50">
        <f t="shared" si="20"/>
        <v>1.0542818728015122E-4</v>
      </c>
    </row>
    <row r="78" spans="1:9" x14ac:dyDescent="0.2">
      <c r="A78" s="38" t="s">
        <v>40</v>
      </c>
      <c r="B78" s="69">
        <v>0</v>
      </c>
      <c r="C78" s="49">
        <f t="shared" si="16"/>
        <v>0</v>
      </c>
      <c r="D78" s="69">
        <v>8</v>
      </c>
      <c r="E78" s="49">
        <f t="shared" si="17"/>
        <v>1.1243282138921994E-5</v>
      </c>
      <c r="F78" s="39">
        <v>0</v>
      </c>
      <c r="G78" s="49">
        <f t="shared" si="18"/>
        <v>0</v>
      </c>
      <c r="H78" s="42">
        <f t="shared" si="19"/>
        <v>8</v>
      </c>
      <c r="I78" s="50">
        <f t="shared" si="20"/>
        <v>9.9226529204848215E-6</v>
      </c>
    </row>
    <row r="79" spans="1:9" x14ac:dyDescent="0.2">
      <c r="A79" s="38" t="s">
        <v>41</v>
      </c>
      <c r="B79" s="69">
        <v>15</v>
      </c>
      <c r="C79" s="49">
        <f t="shared" si="16"/>
        <v>1.6655378021563163E-4</v>
      </c>
      <c r="D79" s="69">
        <v>470</v>
      </c>
      <c r="E79" s="49">
        <f t="shared" si="17"/>
        <v>6.6054282566166715E-4</v>
      </c>
      <c r="F79" s="39">
        <v>5</v>
      </c>
      <c r="G79" s="49">
        <f t="shared" si="18"/>
        <v>1.0778184953653806E-3</v>
      </c>
      <c r="H79" s="42">
        <f t="shared" si="19"/>
        <v>490</v>
      </c>
      <c r="I79" s="50">
        <f t="shared" si="20"/>
        <v>6.0776249137969526E-4</v>
      </c>
    </row>
    <row r="80" spans="1:9" x14ac:dyDescent="0.2">
      <c r="A80" s="38" t="s">
        <v>42</v>
      </c>
      <c r="B80" s="69">
        <v>0</v>
      </c>
      <c r="C80" s="49">
        <f t="shared" si="16"/>
        <v>0</v>
      </c>
      <c r="D80" s="69">
        <v>0</v>
      </c>
      <c r="E80" s="49">
        <f t="shared" si="17"/>
        <v>0</v>
      </c>
      <c r="F80" s="39">
        <v>0</v>
      </c>
      <c r="G80" s="49">
        <f t="shared" si="18"/>
        <v>0</v>
      </c>
      <c r="H80" s="42">
        <f t="shared" si="19"/>
        <v>0</v>
      </c>
      <c r="I80" s="50">
        <f t="shared" si="20"/>
        <v>0</v>
      </c>
    </row>
    <row r="81" spans="1:9" x14ac:dyDescent="0.2">
      <c r="A81" s="38" t="s">
        <v>43</v>
      </c>
      <c r="B81" s="69">
        <v>1059</v>
      </c>
      <c r="C81" s="49">
        <f t="shared" si="16"/>
        <v>1.1758696883223592E-2</v>
      </c>
      <c r="D81" s="69">
        <v>31774</v>
      </c>
      <c r="E81" s="49">
        <f t="shared" si="17"/>
        <v>4.4655505835263433E-2</v>
      </c>
      <c r="F81" s="39">
        <v>4</v>
      </c>
      <c r="G81" s="49">
        <f t="shared" si="18"/>
        <v>8.6225479629230435E-4</v>
      </c>
      <c r="H81" s="42">
        <f t="shared" si="19"/>
        <v>32837</v>
      </c>
      <c r="I81" s="50">
        <f t="shared" si="20"/>
        <v>4.0728769243745008E-2</v>
      </c>
    </row>
    <row r="82" spans="1:9" x14ac:dyDescent="0.2">
      <c r="A82" s="38" t="s">
        <v>44</v>
      </c>
      <c r="B82" s="69">
        <v>14</v>
      </c>
      <c r="C82" s="49">
        <f t="shared" si="16"/>
        <v>1.5545019486792286E-4</v>
      </c>
      <c r="D82" s="69">
        <v>5</v>
      </c>
      <c r="E82" s="49">
        <f t="shared" si="17"/>
        <v>7.0270513368262464E-6</v>
      </c>
      <c r="F82" s="39">
        <v>3</v>
      </c>
      <c r="G82" s="49">
        <f t="shared" si="18"/>
        <v>6.4669109721922824E-4</v>
      </c>
      <c r="H82" s="42">
        <f t="shared" si="19"/>
        <v>22</v>
      </c>
      <c r="I82" s="50">
        <f t="shared" si="20"/>
        <v>2.7287295531333256E-5</v>
      </c>
    </row>
    <row r="83" spans="1:9" x14ac:dyDescent="0.2">
      <c r="A83" s="38" t="s">
        <v>45</v>
      </c>
      <c r="B83" s="69">
        <v>472</v>
      </c>
      <c r="C83" s="49">
        <f t="shared" si="16"/>
        <v>5.2408922841185417E-3</v>
      </c>
      <c r="D83" s="69">
        <v>18327</v>
      </c>
      <c r="E83" s="49">
        <f t="shared" si="17"/>
        <v>2.5756953970002924E-2</v>
      </c>
      <c r="F83" s="39">
        <v>1</v>
      </c>
      <c r="G83" s="49">
        <f t="shared" si="18"/>
        <v>2.1556369907307609E-4</v>
      </c>
      <c r="H83" s="42">
        <f t="shared" si="19"/>
        <v>18800</v>
      </c>
      <c r="I83" s="50">
        <f t="shared" si="20"/>
        <v>2.3318234363139328E-2</v>
      </c>
    </row>
    <row r="84" spans="1:9" x14ac:dyDescent="0.2">
      <c r="A84" s="38" t="s">
        <v>46</v>
      </c>
      <c r="B84" s="69">
        <v>5</v>
      </c>
      <c r="C84" s="49">
        <f t="shared" si="16"/>
        <v>5.5517926738543873E-5</v>
      </c>
      <c r="D84" s="69">
        <v>137</v>
      </c>
      <c r="E84" s="49">
        <f t="shared" si="17"/>
        <v>1.9254120662903914E-4</v>
      </c>
      <c r="F84" s="39">
        <v>0</v>
      </c>
      <c r="G84" s="49">
        <f t="shared" si="18"/>
        <v>0</v>
      </c>
      <c r="H84" s="42">
        <f t="shared" si="19"/>
        <v>142</v>
      </c>
      <c r="I84" s="50">
        <f t="shared" si="20"/>
        <v>1.7612708933860557E-4</v>
      </c>
    </row>
    <row r="85" spans="1:9" x14ac:dyDescent="0.2">
      <c r="A85" s="38" t="s">
        <v>47</v>
      </c>
      <c r="B85" s="69">
        <v>10</v>
      </c>
      <c r="C85" s="49">
        <f t="shared" si="16"/>
        <v>1.1103585347708775E-4</v>
      </c>
      <c r="D85" s="69">
        <v>2</v>
      </c>
      <c r="E85" s="49">
        <f t="shared" si="17"/>
        <v>2.8108205347304986E-6</v>
      </c>
      <c r="F85" s="39">
        <v>0</v>
      </c>
      <c r="G85" s="49">
        <f t="shared" si="18"/>
        <v>0</v>
      </c>
      <c r="H85" s="42">
        <f t="shared" si="19"/>
        <v>12</v>
      </c>
      <c r="I85" s="50">
        <f t="shared" si="20"/>
        <v>1.4883979380727231E-5</v>
      </c>
    </row>
    <row r="86" spans="1:9" x14ac:dyDescent="0.2">
      <c r="A86" s="38" t="s">
        <v>48</v>
      </c>
      <c r="B86" s="69">
        <v>0</v>
      </c>
      <c r="C86" s="49">
        <f t="shared" si="16"/>
        <v>0</v>
      </c>
      <c r="D86" s="69">
        <v>0</v>
      </c>
      <c r="E86" s="49">
        <f t="shared" si="17"/>
        <v>0</v>
      </c>
      <c r="F86" s="39">
        <v>0</v>
      </c>
      <c r="G86" s="49">
        <f t="shared" si="18"/>
        <v>0</v>
      </c>
      <c r="H86" s="42">
        <f t="shared" si="19"/>
        <v>0</v>
      </c>
      <c r="I86" s="50">
        <f t="shared" si="20"/>
        <v>0</v>
      </c>
    </row>
    <row r="87" spans="1:9" x14ac:dyDescent="0.2">
      <c r="A87" s="38" t="s">
        <v>49</v>
      </c>
      <c r="B87" s="69">
        <v>11</v>
      </c>
      <c r="C87" s="49">
        <f t="shared" si="16"/>
        <v>1.2213943882479652E-4</v>
      </c>
      <c r="D87" s="69">
        <v>15</v>
      </c>
      <c r="E87" s="49">
        <f t="shared" si="17"/>
        <v>2.1081154010478738E-5</v>
      </c>
      <c r="F87" s="39">
        <v>0</v>
      </c>
      <c r="G87" s="49">
        <f t="shared" si="18"/>
        <v>0</v>
      </c>
      <c r="H87" s="42">
        <f t="shared" si="19"/>
        <v>26</v>
      </c>
      <c r="I87" s="50">
        <f t="shared" si="20"/>
        <v>3.224862199157567E-5</v>
      </c>
    </row>
    <row r="88" spans="1:9" x14ac:dyDescent="0.2">
      <c r="A88" s="38" t="s">
        <v>50</v>
      </c>
      <c r="B88" s="69">
        <v>15</v>
      </c>
      <c r="C88" s="49">
        <f t="shared" si="16"/>
        <v>1.6655378021563163E-4</v>
      </c>
      <c r="D88" s="69">
        <v>33</v>
      </c>
      <c r="E88" s="49">
        <f t="shared" si="17"/>
        <v>4.6378538823053228E-5</v>
      </c>
      <c r="F88" s="39">
        <v>7</v>
      </c>
      <c r="G88" s="49">
        <f t="shared" si="18"/>
        <v>1.5089458935115326E-3</v>
      </c>
      <c r="H88" s="42">
        <f t="shared" si="19"/>
        <v>55</v>
      </c>
      <c r="I88" s="50">
        <f t="shared" si="20"/>
        <v>6.8218238828333144E-5</v>
      </c>
    </row>
    <row r="89" spans="1:9" x14ac:dyDescent="0.2">
      <c r="A89" s="38" t="s">
        <v>51</v>
      </c>
      <c r="B89" s="69">
        <v>12</v>
      </c>
      <c r="C89" s="49">
        <f t="shared" si="16"/>
        <v>1.3324302417250529E-4</v>
      </c>
      <c r="D89" s="69">
        <v>12</v>
      </c>
      <c r="E89" s="49">
        <f t="shared" si="17"/>
        <v>1.6864923208382991E-5</v>
      </c>
      <c r="F89" s="39">
        <v>0</v>
      </c>
      <c r="G89" s="49">
        <f t="shared" si="18"/>
        <v>0</v>
      </c>
      <c r="H89" s="42">
        <f t="shared" si="19"/>
        <v>24</v>
      </c>
      <c r="I89" s="50">
        <f t="shared" si="20"/>
        <v>2.9767958761454463E-5</v>
      </c>
    </row>
    <row r="90" spans="1:9" x14ac:dyDescent="0.2">
      <c r="A90" s="44" t="s">
        <v>18</v>
      </c>
      <c r="B90" s="42">
        <f>SUM(B74:B89)</f>
        <v>90061</v>
      </c>
      <c r="C90" s="50">
        <f t="shared" si="16"/>
        <v>1</v>
      </c>
      <c r="D90" s="42">
        <f t="shared" ref="D90:H90" si="21">SUM(D74:D89)</f>
        <v>711536</v>
      </c>
      <c r="E90" s="50">
        <f t="shared" si="17"/>
        <v>1</v>
      </c>
      <c r="F90" s="42">
        <f t="shared" si="21"/>
        <v>4639</v>
      </c>
      <c r="G90" s="50">
        <f t="shared" si="18"/>
        <v>1</v>
      </c>
      <c r="H90" s="42">
        <f t="shared" si="21"/>
        <v>806236</v>
      </c>
      <c r="I90" s="50">
        <f t="shared" si="20"/>
        <v>1</v>
      </c>
    </row>
  </sheetData>
  <mergeCells count="16">
    <mergeCell ref="B3:C3"/>
    <mergeCell ref="D3:E3"/>
    <mergeCell ref="F3:G3"/>
    <mergeCell ref="H3:I3"/>
    <mergeCell ref="B26:C26"/>
    <mergeCell ref="D26:E26"/>
    <mergeCell ref="F26:G26"/>
    <mergeCell ref="H26:I26"/>
    <mergeCell ref="B72:C72"/>
    <mergeCell ref="D72:E72"/>
    <mergeCell ref="F72:G72"/>
    <mergeCell ref="H72:I72"/>
    <mergeCell ref="B49:C49"/>
    <mergeCell ref="D49:E49"/>
    <mergeCell ref="F49:G49"/>
    <mergeCell ref="H49:I4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3"/>
  <sheetViews>
    <sheetView workbookViewId="0">
      <selection activeCell="A3" sqref="A3:I4"/>
    </sheetView>
  </sheetViews>
  <sheetFormatPr defaultRowHeight="12.75" x14ac:dyDescent="0.2"/>
  <cols>
    <col min="1" max="1" width="23.85546875" style="37" customWidth="1"/>
    <col min="2" max="9" width="10.28515625" style="37" customWidth="1"/>
    <col min="10" max="16384" width="9.140625" style="37"/>
  </cols>
  <sheetData>
    <row r="1" spans="1:9" x14ac:dyDescent="0.2">
      <c r="A1" s="36" t="s">
        <v>75</v>
      </c>
    </row>
    <row r="3" spans="1:9" x14ac:dyDescent="0.2">
      <c r="A3" s="63" t="s">
        <v>65</v>
      </c>
      <c r="B3" s="89" t="s">
        <v>0</v>
      </c>
      <c r="C3" s="89"/>
      <c r="D3" s="89" t="s">
        <v>30</v>
      </c>
      <c r="E3" s="89"/>
      <c r="F3" s="89" t="s">
        <v>31</v>
      </c>
      <c r="G3" s="89"/>
      <c r="H3" s="87" t="s">
        <v>18</v>
      </c>
      <c r="I3" s="87"/>
    </row>
    <row r="4" spans="1:9" x14ac:dyDescent="0.2">
      <c r="A4" s="63" t="s">
        <v>66</v>
      </c>
      <c r="B4" s="63" t="s">
        <v>67</v>
      </c>
      <c r="C4" s="63" t="s">
        <v>68</v>
      </c>
      <c r="D4" s="63" t="s">
        <v>67</v>
      </c>
      <c r="E4" s="63" t="s">
        <v>68</v>
      </c>
      <c r="F4" s="63" t="s">
        <v>67</v>
      </c>
      <c r="G4" s="63" t="s">
        <v>68</v>
      </c>
      <c r="H4" s="66" t="s">
        <v>67</v>
      </c>
      <c r="I4" s="66" t="s">
        <v>68</v>
      </c>
    </row>
    <row r="5" spans="1:9" x14ac:dyDescent="0.2">
      <c r="A5" s="38" t="s">
        <v>36</v>
      </c>
      <c r="B5" s="39">
        <v>3071</v>
      </c>
      <c r="C5" s="49">
        <f>B5/89211</f>
        <v>3.4424006008227682E-2</v>
      </c>
      <c r="D5" s="39">
        <v>238207</v>
      </c>
      <c r="E5" s="49">
        <f>D5/707841</f>
        <v>0.33652614075759951</v>
      </c>
      <c r="F5" s="39">
        <v>24</v>
      </c>
      <c r="G5" s="49">
        <f>F5/4632</f>
        <v>5.1813471502590676E-3</v>
      </c>
      <c r="H5" s="42">
        <f>B5+D5+F5</f>
        <v>241302</v>
      </c>
      <c r="I5" s="50">
        <f>H5/801684</f>
        <v>0.3009939078240304</v>
      </c>
    </row>
    <row r="6" spans="1:9" x14ac:dyDescent="0.2">
      <c r="A6" s="38" t="s">
        <v>37</v>
      </c>
      <c r="B6" s="39">
        <v>84518</v>
      </c>
      <c r="C6" s="49">
        <f t="shared" ref="C6:C21" si="0">B6/89211</f>
        <v>0.94739437961686335</v>
      </c>
      <c r="D6" s="39">
        <v>418226</v>
      </c>
      <c r="E6" s="49">
        <f t="shared" ref="E6:E21" si="1">D6/707841</f>
        <v>0.59084737956688016</v>
      </c>
      <c r="F6" s="39">
        <v>4595</v>
      </c>
      <c r="G6" s="49">
        <f t="shared" ref="G6:G21" si="2">F6/4632</f>
        <v>0.99201208981001732</v>
      </c>
      <c r="H6" s="42">
        <f t="shared" ref="H6:H20" si="3">B6+D6+F6</f>
        <v>507339</v>
      </c>
      <c r="I6" s="50">
        <f t="shared" ref="I6:I21" si="4">H6/801684</f>
        <v>0.63284161839328212</v>
      </c>
    </row>
    <row r="7" spans="1:9" x14ac:dyDescent="0.2">
      <c r="A7" s="38" t="s">
        <v>38</v>
      </c>
      <c r="B7" s="39">
        <v>15</v>
      </c>
      <c r="C7" s="49">
        <f t="shared" si="0"/>
        <v>1.6814070013787538E-4</v>
      </c>
      <c r="D7" s="39">
        <v>6</v>
      </c>
      <c r="E7" s="49">
        <f t="shared" si="1"/>
        <v>8.4764798874323464E-6</v>
      </c>
      <c r="F7" s="39">
        <v>0</v>
      </c>
      <c r="G7" s="49">
        <f t="shared" si="2"/>
        <v>0</v>
      </c>
      <c r="H7" s="42">
        <f t="shared" si="3"/>
        <v>21</v>
      </c>
      <c r="I7" s="50">
        <f t="shared" si="4"/>
        <v>2.6194859820078733E-5</v>
      </c>
    </row>
    <row r="8" spans="1:9" x14ac:dyDescent="0.2">
      <c r="A8" s="38" t="s">
        <v>39</v>
      </c>
      <c r="B8" s="39">
        <v>0</v>
      </c>
      <c r="C8" s="49">
        <f t="shared" si="0"/>
        <v>0</v>
      </c>
      <c r="D8" s="39">
        <v>83</v>
      </c>
      <c r="E8" s="49">
        <f t="shared" si="1"/>
        <v>1.1725797177614747E-4</v>
      </c>
      <c r="F8" s="39">
        <v>0</v>
      </c>
      <c r="G8" s="49">
        <f t="shared" si="2"/>
        <v>0</v>
      </c>
      <c r="H8" s="42">
        <f t="shared" si="3"/>
        <v>83</v>
      </c>
      <c r="I8" s="50">
        <f t="shared" si="4"/>
        <v>1.0353206500316833E-4</v>
      </c>
    </row>
    <row r="9" spans="1:9" x14ac:dyDescent="0.2">
      <c r="A9" s="38" t="s">
        <v>40</v>
      </c>
      <c r="B9" s="39">
        <v>0</v>
      </c>
      <c r="C9" s="49">
        <f t="shared" si="0"/>
        <v>0</v>
      </c>
      <c r="D9" s="39">
        <v>6</v>
      </c>
      <c r="E9" s="49">
        <f t="shared" si="1"/>
        <v>8.4764798874323464E-6</v>
      </c>
      <c r="F9" s="39">
        <v>0</v>
      </c>
      <c r="G9" s="49">
        <f t="shared" si="2"/>
        <v>0</v>
      </c>
      <c r="H9" s="42">
        <f t="shared" si="3"/>
        <v>6</v>
      </c>
      <c r="I9" s="50">
        <f t="shared" si="4"/>
        <v>7.4842456628796387E-6</v>
      </c>
    </row>
    <row r="10" spans="1:9" x14ac:dyDescent="0.2">
      <c r="A10" s="38" t="s">
        <v>41</v>
      </c>
      <c r="B10" s="39">
        <v>13</v>
      </c>
      <c r="C10" s="49">
        <f t="shared" si="0"/>
        <v>1.4572194011949199E-4</v>
      </c>
      <c r="D10" s="39">
        <v>442</v>
      </c>
      <c r="E10" s="49">
        <f t="shared" si="1"/>
        <v>6.2443401837418292E-4</v>
      </c>
      <c r="F10" s="39">
        <v>5</v>
      </c>
      <c r="G10" s="49">
        <f t="shared" si="2"/>
        <v>1.079447322970639E-3</v>
      </c>
      <c r="H10" s="42">
        <f t="shared" si="3"/>
        <v>460</v>
      </c>
      <c r="I10" s="50">
        <f t="shared" si="4"/>
        <v>5.737921674874389E-4</v>
      </c>
    </row>
    <row r="11" spans="1:9" x14ac:dyDescent="0.2">
      <c r="A11" s="38" t="s">
        <v>42</v>
      </c>
      <c r="B11" s="39">
        <v>0</v>
      </c>
      <c r="C11" s="49">
        <f t="shared" si="0"/>
        <v>0</v>
      </c>
      <c r="D11" s="39">
        <v>0</v>
      </c>
      <c r="E11" s="49">
        <f t="shared" si="1"/>
        <v>0</v>
      </c>
      <c r="F11" s="39">
        <v>0</v>
      </c>
      <c r="G11" s="49">
        <f t="shared" si="2"/>
        <v>0</v>
      </c>
      <c r="H11" s="42">
        <f t="shared" si="3"/>
        <v>0</v>
      </c>
      <c r="I11" s="50">
        <f t="shared" si="4"/>
        <v>0</v>
      </c>
    </row>
    <row r="12" spans="1:9" x14ac:dyDescent="0.2">
      <c r="A12" s="38" t="s">
        <v>43</v>
      </c>
      <c r="B12" s="39">
        <v>1091</v>
      </c>
      <c r="C12" s="49">
        <f t="shared" si="0"/>
        <v>1.2229433590028135E-2</v>
      </c>
      <c r="D12" s="39">
        <v>32940</v>
      </c>
      <c r="E12" s="49">
        <f t="shared" si="1"/>
        <v>4.6535874582003582E-2</v>
      </c>
      <c r="F12" s="39">
        <v>4</v>
      </c>
      <c r="G12" s="49">
        <f t="shared" si="2"/>
        <v>8.6355785837651119E-4</v>
      </c>
      <c r="H12" s="42">
        <f t="shared" si="3"/>
        <v>34035</v>
      </c>
      <c r="I12" s="50">
        <f t="shared" si="4"/>
        <v>4.2454383522684748E-2</v>
      </c>
    </row>
    <row r="13" spans="1:9" x14ac:dyDescent="0.2">
      <c r="A13" s="38" t="s">
        <v>44</v>
      </c>
      <c r="B13" s="39">
        <v>14</v>
      </c>
      <c r="C13" s="49">
        <f t="shared" si="0"/>
        <v>1.5693132012868367E-4</v>
      </c>
      <c r="D13" s="39">
        <v>5</v>
      </c>
      <c r="E13" s="49">
        <f t="shared" si="1"/>
        <v>7.0637332395269559E-6</v>
      </c>
      <c r="F13" s="39">
        <v>3</v>
      </c>
      <c r="G13" s="49">
        <f t="shared" si="2"/>
        <v>6.4766839378238344E-4</v>
      </c>
      <c r="H13" s="42">
        <f t="shared" si="3"/>
        <v>22</v>
      </c>
      <c r="I13" s="50">
        <f t="shared" si="4"/>
        <v>2.7442234097225341E-5</v>
      </c>
    </row>
    <row r="14" spans="1:9" x14ac:dyDescent="0.2">
      <c r="A14" s="38" t="s">
        <v>45</v>
      </c>
      <c r="B14" s="39">
        <v>436</v>
      </c>
      <c r="C14" s="49">
        <f t="shared" si="0"/>
        <v>4.8872896840075775E-3</v>
      </c>
      <c r="D14" s="39">
        <v>17734</v>
      </c>
      <c r="E14" s="49">
        <f t="shared" si="1"/>
        <v>2.5053649053954206E-2</v>
      </c>
      <c r="F14" s="39">
        <v>1</v>
      </c>
      <c r="G14" s="49">
        <f t="shared" si="2"/>
        <v>2.158894645941278E-4</v>
      </c>
      <c r="H14" s="42">
        <f t="shared" si="3"/>
        <v>18171</v>
      </c>
      <c r="I14" s="50">
        <f t="shared" si="4"/>
        <v>2.2666037990030984E-2</v>
      </c>
    </row>
    <row r="15" spans="1:9" x14ac:dyDescent="0.2">
      <c r="A15" s="38" t="s">
        <v>46</v>
      </c>
      <c r="B15" s="39">
        <v>6</v>
      </c>
      <c r="C15" s="49">
        <f t="shared" si="0"/>
        <v>6.7256280055150153E-5</v>
      </c>
      <c r="D15" s="39">
        <v>132</v>
      </c>
      <c r="E15" s="49">
        <f t="shared" si="1"/>
        <v>1.8648255752351165E-4</v>
      </c>
      <c r="F15" s="39">
        <v>0</v>
      </c>
      <c r="G15" s="49">
        <f t="shared" si="2"/>
        <v>0</v>
      </c>
      <c r="H15" s="42">
        <f t="shared" si="3"/>
        <v>138</v>
      </c>
      <c r="I15" s="50">
        <f t="shared" si="4"/>
        <v>1.7213765024623169E-4</v>
      </c>
    </row>
    <row r="16" spans="1:9" x14ac:dyDescent="0.2">
      <c r="A16" s="38" t="s">
        <v>47</v>
      </c>
      <c r="B16" s="39">
        <v>10</v>
      </c>
      <c r="C16" s="49">
        <f t="shared" si="0"/>
        <v>1.1209380009191691E-4</v>
      </c>
      <c r="D16" s="39">
        <v>2</v>
      </c>
      <c r="E16" s="49">
        <f t="shared" si="1"/>
        <v>2.8254932958107823E-6</v>
      </c>
      <c r="F16" s="39">
        <v>0</v>
      </c>
      <c r="G16" s="49">
        <f t="shared" si="2"/>
        <v>0</v>
      </c>
      <c r="H16" s="42">
        <f t="shared" si="3"/>
        <v>12</v>
      </c>
      <c r="I16" s="50">
        <f t="shared" si="4"/>
        <v>1.4968491325759277E-5</v>
      </c>
    </row>
    <row r="17" spans="1:9" x14ac:dyDescent="0.2">
      <c r="A17" s="38" t="s">
        <v>48</v>
      </c>
      <c r="B17" s="39">
        <v>0</v>
      </c>
      <c r="C17" s="49">
        <f t="shared" si="0"/>
        <v>0</v>
      </c>
      <c r="D17" s="39">
        <v>0</v>
      </c>
      <c r="E17" s="49">
        <f t="shared" si="1"/>
        <v>0</v>
      </c>
      <c r="F17" s="39">
        <v>0</v>
      </c>
      <c r="G17" s="49">
        <f t="shared" si="2"/>
        <v>0</v>
      </c>
      <c r="H17" s="42">
        <f t="shared" si="3"/>
        <v>0</v>
      </c>
      <c r="I17" s="50">
        <f t="shared" si="4"/>
        <v>0</v>
      </c>
    </row>
    <row r="18" spans="1:9" x14ac:dyDescent="0.2">
      <c r="A18" s="38" t="s">
        <v>49</v>
      </c>
      <c r="B18" s="39">
        <v>11</v>
      </c>
      <c r="C18" s="49">
        <f t="shared" si="0"/>
        <v>1.233031801011086E-4</v>
      </c>
      <c r="D18" s="39">
        <v>13</v>
      </c>
      <c r="E18" s="49">
        <f t="shared" si="1"/>
        <v>1.8365706422770084E-5</v>
      </c>
      <c r="F18" s="39">
        <v>0</v>
      </c>
      <c r="G18" s="49">
        <f t="shared" si="2"/>
        <v>0</v>
      </c>
      <c r="H18" s="42">
        <f t="shared" si="3"/>
        <v>24</v>
      </c>
      <c r="I18" s="50">
        <f t="shared" si="4"/>
        <v>2.9936982651518555E-5</v>
      </c>
    </row>
    <row r="19" spans="1:9" x14ac:dyDescent="0.2">
      <c r="A19" s="38" t="s">
        <v>50</v>
      </c>
      <c r="B19" s="39">
        <v>16</v>
      </c>
      <c r="C19" s="49">
        <f t="shared" si="0"/>
        <v>1.7935008014706707E-4</v>
      </c>
      <c r="D19" s="39">
        <v>33</v>
      </c>
      <c r="E19" s="49">
        <f t="shared" si="1"/>
        <v>4.6620639380877911E-5</v>
      </c>
      <c r="F19" s="39">
        <v>0</v>
      </c>
      <c r="G19" s="49">
        <f t="shared" si="2"/>
        <v>0</v>
      </c>
      <c r="H19" s="42">
        <f t="shared" si="3"/>
        <v>49</v>
      </c>
      <c r="I19" s="50">
        <f t="shared" si="4"/>
        <v>6.1121339580183715E-5</v>
      </c>
    </row>
    <row r="20" spans="1:9" x14ac:dyDescent="0.2">
      <c r="A20" s="38" t="s">
        <v>51</v>
      </c>
      <c r="B20" s="39">
        <v>10</v>
      </c>
      <c r="C20" s="49">
        <f t="shared" si="0"/>
        <v>1.1209380009191691E-4</v>
      </c>
      <c r="D20" s="39">
        <v>12</v>
      </c>
      <c r="E20" s="49">
        <f t="shared" si="1"/>
        <v>1.6952959774864693E-5</v>
      </c>
      <c r="F20" s="39">
        <v>0</v>
      </c>
      <c r="G20" s="49">
        <f t="shared" si="2"/>
        <v>0</v>
      </c>
      <c r="H20" s="42">
        <f t="shared" si="3"/>
        <v>22</v>
      </c>
      <c r="I20" s="50">
        <f t="shared" si="4"/>
        <v>2.7442234097225341E-5</v>
      </c>
    </row>
    <row r="21" spans="1:9" x14ac:dyDescent="0.2">
      <c r="A21" s="44" t="s">
        <v>18</v>
      </c>
      <c r="B21" s="42">
        <f>SUM(B5:B20)</f>
        <v>89211</v>
      </c>
      <c r="C21" s="50">
        <f t="shared" si="0"/>
        <v>1</v>
      </c>
      <c r="D21" s="42">
        <f>SUM(D5:D20)</f>
        <v>707841</v>
      </c>
      <c r="E21" s="50">
        <f t="shared" si="1"/>
        <v>1</v>
      </c>
      <c r="F21" s="42">
        <f>SUM(F5:F20)</f>
        <v>4632</v>
      </c>
      <c r="G21" s="50">
        <f t="shared" si="2"/>
        <v>1</v>
      </c>
      <c r="H21" s="42">
        <f>SUM(H5:H20)</f>
        <v>801684</v>
      </c>
      <c r="I21" s="50">
        <f t="shared" si="4"/>
        <v>1</v>
      </c>
    </row>
    <row r="22" spans="1:9" s="54" customFormat="1" x14ac:dyDescent="0.2">
      <c r="A22" s="55"/>
      <c r="C22" s="64"/>
      <c r="E22" s="64"/>
      <c r="G22" s="64"/>
      <c r="I22" s="64"/>
    </row>
    <row r="24" spans="1:9" x14ac:dyDescent="0.2">
      <c r="A24" s="36" t="s">
        <v>74</v>
      </c>
    </row>
    <row r="26" spans="1:9" x14ac:dyDescent="0.2">
      <c r="A26" s="62" t="s">
        <v>65</v>
      </c>
      <c r="B26" s="89" t="s">
        <v>0</v>
      </c>
      <c r="C26" s="89"/>
      <c r="D26" s="89" t="s">
        <v>30</v>
      </c>
      <c r="E26" s="89"/>
      <c r="F26" s="89" t="s">
        <v>31</v>
      </c>
      <c r="G26" s="89"/>
      <c r="H26" s="87" t="s">
        <v>18</v>
      </c>
      <c r="I26" s="87"/>
    </row>
    <row r="27" spans="1:9" x14ac:dyDescent="0.2">
      <c r="A27" s="62" t="s">
        <v>66</v>
      </c>
      <c r="B27" s="62" t="s">
        <v>67</v>
      </c>
      <c r="C27" s="62" t="s">
        <v>68</v>
      </c>
      <c r="D27" s="62" t="s">
        <v>67</v>
      </c>
      <c r="E27" s="62" t="s">
        <v>68</v>
      </c>
      <c r="F27" s="62" t="s">
        <v>67</v>
      </c>
      <c r="G27" s="62" t="s">
        <v>68</v>
      </c>
      <c r="H27" s="61" t="s">
        <v>67</v>
      </c>
      <c r="I27" s="61" t="s">
        <v>68</v>
      </c>
    </row>
    <row r="28" spans="1:9" x14ac:dyDescent="0.2">
      <c r="A28" s="38" t="s">
        <v>36</v>
      </c>
      <c r="B28" s="39">
        <v>3248</v>
      </c>
      <c r="C28" s="49">
        <f>B28/90265</f>
        <v>3.5982939123691354E-2</v>
      </c>
      <c r="D28" s="39">
        <v>244864</v>
      </c>
      <c r="E28" s="49">
        <f>D28/710433</f>
        <v>0.3446686738932454</v>
      </c>
      <c r="F28" s="39">
        <v>29</v>
      </c>
      <c r="G28" s="49">
        <f>F28/4695</f>
        <v>6.17678381256656E-3</v>
      </c>
      <c r="H28" s="42">
        <f>B28+D28+F28</f>
        <v>248141</v>
      </c>
      <c r="I28" s="50">
        <f>H28/805393</f>
        <v>0.30809927575730112</v>
      </c>
    </row>
    <row r="29" spans="1:9" x14ac:dyDescent="0.2">
      <c r="A29" s="38" t="s">
        <v>37</v>
      </c>
      <c r="B29" s="39">
        <v>85282</v>
      </c>
      <c r="C29" s="49">
        <f t="shared" ref="C29:C44" si="5">B29/90265</f>
        <v>0.94479587880130722</v>
      </c>
      <c r="D29" s="39">
        <v>413218</v>
      </c>
      <c r="E29" s="49">
        <f t="shared" ref="E29:E44" si="6">D29/710433</f>
        <v>0.58164246311756351</v>
      </c>
      <c r="F29" s="39">
        <v>4653</v>
      </c>
      <c r="G29" s="49">
        <f t="shared" ref="G29:G44" si="7">F29/4695</f>
        <v>0.99105431309904157</v>
      </c>
      <c r="H29" s="42">
        <f t="shared" ref="H29:H43" si="8">B29+D29+F29</f>
        <v>503153</v>
      </c>
      <c r="I29" s="50">
        <f t="shared" ref="I29:I44" si="9">H29/805393</f>
        <v>0.62472979030113251</v>
      </c>
    </row>
    <row r="30" spans="1:9" x14ac:dyDescent="0.2">
      <c r="A30" s="38" t="s">
        <v>38</v>
      </c>
      <c r="B30" s="39">
        <v>17</v>
      </c>
      <c r="C30" s="49">
        <f t="shared" si="5"/>
        <v>1.8833434886168503E-4</v>
      </c>
      <c r="D30" s="39">
        <v>8</v>
      </c>
      <c r="E30" s="49">
        <f t="shared" si="6"/>
        <v>1.1260738169538858E-5</v>
      </c>
      <c r="F30" s="39">
        <v>0</v>
      </c>
      <c r="G30" s="49">
        <f t="shared" si="7"/>
        <v>0</v>
      </c>
      <c r="H30" s="42">
        <f t="shared" si="8"/>
        <v>25</v>
      </c>
      <c r="I30" s="50">
        <f t="shared" si="9"/>
        <v>3.1040746567203838E-5</v>
      </c>
    </row>
    <row r="31" spans="1:9" x14ac:dyDescent="0.2">
      <c r="A31" s="38" t="s">
        <v>39</v>
      </c>
      <c r="B31" s="39">
        <v>0</v>
      </c>
      <c r="C31" s="49">
        <f t="shared" si="5"/>
        <v>0</v>
      </c>
      <c r="D31" s="39">
        <v>78</v>
      </c>
      <c r="E31" s="49">
        <f t="shared" si="6"/>
        <v>1.0979219715300388E-4</v>
      </c>
      <c r="F31" s="39">
        <v>0</v>
      </c>
      <c r="G31" s="49">
        <f t="shared" si="7"/>
        <v>0</v>
      </c>
      <c r="H31" s="42">
        <f t="shared" si="8"/>
        <v>78</v>
      </c>
      <c r="I31" s="50">
        <f t="shared" si="9"/>
        <v>9.6847129289675973E-5</v>
      </c>
    </row>
    <row r="32" spans="1:9" x14ac:dyDescent="0.2">
      <c r="A32" s="38" t="s">
        <v>40</v>
      </c>
      <c r="B32" s="39">
        <v>0</v>
      </c>
      <c r="C32" s="49">
        <f t="shared" si="5"/>
        <v>0</v>
      </c>
      <c r="D32" s="39">
        <v>4</v>
      </c>
      <c r="E32" s="49">
        <f t="shared" si="6"/>
        <v>5.6303690847694291E-6</v>
      </c>
      <c r="F32" s="39">
        <v>0</v>
      </c>
      <c r="G32" s="49">
        <f t="shared" si="7"/>
        <v>0</v>
      </c>
      <c r="H32" s="42">
        <f t="shared" si="8"/>
        <v>4</v>
      </c>
      <c r="I32" s="50">
        <f t="shared" si="9"/>
        <v>4.966519450752614E-6</v>
      </c>
    </row>
    <row r="33" spans="1:9" x14ac:dyDescent="0.2">
      <c r="A33" s="38" t="s">
        <v>41</v>
      </c>
      <c r="B33" s="39">
        <v>14</v>
      </c>
      <c r="C33" s="49">
        <f t="shared" si="5"/>
        <v>1.5509887553315238E-4</v>
      </c>
      <c r="D33" s="39">
        <v>405</v>
      </c>
      <c r="E33" s="49">
        <f t="shared" si="6"/>
        <v>5.7007486983290476E-4</v>
      </c>
      <c r="F33" s="39">
        <v>3</v>
      </c>
      <c r="G33" s="49">
        <f t="shared" si="7"/>
        <v>6.3897763578274762E-4</v>
      </c>
      <c r="H33" s="42">
        <f t="shared" si="8"/>
        <v>422</v>
      </c>
      <c r="I33" s="50">
        <f t="shared" si="9"/>
        <v>5.2396780205440073E-4</v>
      </c>
    </row>
    <row r="34" spans="1:9" x14ac:dyDescent="0.2">
      <c r="A34" s="38" t="s">
        <v>42</v>
      </c>
      <c r="B34" s="39">
        <v>0</v>
      </c>
      <c r="C34" s="49">
        <f t="shared" si="5"/>
        <v>0</v>
      </c>
      <c r="D34" s="39">
        <v>0</v>
      </c>
      <c r="E34" s="49">
        <f t="shared" si="6"/>
        <v>0</v>
      </c>
      <c r="F34" s="39">
        <v>0</v>
      </c>
      <c r="G34" s="49">
        <f t="shared" si="7"/>
        <v>0</v>
      </c>
      <c r="H34" s="42">
        <f t="shared" si="8"/>
        <v>0</v>
      </c>
      <c r="I34" s="50">
        <f t="shared" si="9"/>
        <v>0</v>
      </c>
    </row>
    <row r="35" spans="1:9" x14ac:dyDescent="0.2">
      <c r="A35" s="38" t="s">
        <v>43</v>
      </c>
      <c r="B35" s="39">
        <v>1214</v>
      </c>
      <c r="C35" s="49">
        <f t="shared" si="5"/>
        <v>1.3449288206946214E-2</v>
      </c>
      <c r="D35" s="39">
        <v>35014</v>
      </c>
      <c r="E35" s="49">
        <f t="shared" si="6"/>
        <v>4.9285435783529202E-2</v>
      </c>
      <c r="F35" s="39">
        <v>6</v>
      </c>
      <c r="G35" s="49">
        <f t="shared" si="7"/>
        <v>1.2779552715654952E-3</v>
      </c>
      <c r="H35" s="42">
        <f t="shared" si="8"/>
        <v>36234</v>
      </c>
      <c r="I35" s="50">
        <f t="shared" si="9"/>
        <v>4.498921644464255E-2</v>
      </c>
    </row>
    <row r="36" spans="1:9" x14ac:dyDescent="0.2">
      <c r="A36" s="38" t="s">
        <v>44</v>
      </c>
      <c r="B36" s="39">
        <v>16</v>
      </c>
      <c r="C36" s="49">
        <f t="shared" si="5"/>
        <v>1.7725585775217416E-4</v>
      </c>
      <c r="D36" s="39">
        <v>5</v>
      </c>
      <c r="E36" s="49">
        <f t="shared" si="6"/>
        <v>7.0379613559617863E-6</v>
      </c>
      <c r="F36" s="39">
        <v>3</v>
      </c>
      <c r="G36" s="49">
        <f t="shared" si="7"/>
        <v>6.3897763578274762E-4</v>
      </c>
      <c r="H36" s="42">
        <f t="shared" si="8"/>
        <v>24</v>
      </c>
      <c r="I36" s="50">
        <f t="shared" si="9"/>
        <v>2.9799116704515684E-5</v>
      </c>
    </row>
    <row r="37" spans="1:9" x14ac:dyDescent="0.2">
      <c r="A37" s="38" t="s">
        <v>45</v>
      </c>
      <c r="B37" s="39">
        <v>424</v>
      </c>
      <c r="C37" s="49">
        <f t="shared" si="5"/>
        <v>4.6972802304326147E-3</v>
      </c>
      <c r="D37" s="39">
        <v>16649</v>
      </c>
      <c r="E37" s="49">
        <f t="shared" si="6"/>
        <v>2.3435003723081556E-2</v>
      </c>
      <c r="F37" s="39">
        <v>1</v>
      </c>
      <c r="G37" s="49">
        <f t="shared" si="7"/>
        <v>2.1299254526091586E-4</v>
      </c>
      <c r="H37" s="42">
        <f t="shared" si="8"/>
        <v>17074</v>
      </c>
      <c r="I37" s="50">
        <f t="shared" si="9"/>
        <v>2.1199588275537532E-2</v>
      </c>
    </row>
    <row r="38" spans="1:9" x14ac:dyDescent="0.2">
      <c r="A38" s="38" t="s">
        <v>46</v>
      </c>
      <c r="B38" s="39">
        <v>5</v>
      </c>
      <c r="C38" s="49">
        <f t="shared" si="5"/>
        <v>5.5392455547554426E-5</v>
      </c>
      <c r="D38" s="39">
        <v>128</v>
      </c>
      <c r="E38" s="49">
        <f t="shared" si="6"/>
        <v>1.8017181071262173E-4</v>
      </c>
      <c r="F38" s="39">
        <v>0</v>
      </c>
      <c r="G38" s="49">
        <f t="shared" si="7"/>
        <v>0</v>
      </c>
      <c r="H38" s="42">
        <f t="shared" si="8"/>
        <v>133</v>
      </c>
      <c r="I38" s="50">
        <f t="shared" si="9"/>
        <v>1.6513677173752442E-4</v>
      </c>
    </row>
    <row r="39" spans="1:9" x14ac:dyDescent="0.2">
      <c r="A39" s="38" t="s">
        <v>47</v>
      </c>
      <c r="B39" s="39">
        <v>9</v>
      </c>
      <c r="C39" s="49">
        <f t="shared" si="5"/>
        <v>9.9706419985597959E-5</v>
      </c>
      <c r="D39" s="39">
        <v>4</v>
      </c>
      <c r="E39" s="49">
        <f t="shared" si="6"/>
        <v>5.6303690847694291E-6</v>
      </c>
      <c r="F39" s="39">
        <v>0</v>
      </c>
      <c r="G39" s="49">
        <f t="shared" si="7"/>
        <v>0</v>
      </c>
      <c r="H39" s="42">
        <f t="shared" si="8"/>
        <v>13</v>
      </c>
      <c r="I39" s="50">
        <f t="shared" si="9"/>
        <v>1.6141188214945996E-5</v>
      </c>
    </row>
    <row r="40" spans="1:9" x14ac:dyDescent="0.2">
      <c r="A40" s="38" t="s">
        <v>48</v>
      </c>
      <c r="B40" s="39">
        <v>0</v>
      </c>
      <c r="C40" s="49">
        <f t="shared" si="5"/>
        <v>0</v>
      </c>
      <c r="D40" s="39">
        <v>0</v>
      </c>
      <c r="E40" s="49">
        <f t="shared" si="6"/>
        <v>0</v>
      </c>
      <c r="F40" s="39">
        <v>0</v>
      </c>
      <c r="G40" s="49">
        <f t="shared" si="7"/>
        <v>0</v>
      </c>
      <c r="H40" s="42">
        <f t="shared" si="8"/>
        <v>0</v>
      </c>
      <c r="I40" s="50">
        <f t="shared" si="9"/>
        <v>0</v>
      </c>
    </row>
    <row r="41" spans="1:9" x14ac:dyDescent="0.2">
      <c r="A41" s="38" t="s">
        <v>49</v>
      </c>
      <c r="B41" s="39">
        <v>12</v>
      </c>
      <c r="C41" s="49">
        <f t="shared" si="5"/>
        <v>1.3294189331413062E-4</v>
      </c>
      <c r="D41" s="39">
        <v>12</v>
      </c>
      <c r="E41" s="49">
        <f t="shared" si="6"/>
        <v>1.6891107254308287E-5</v>
      </c>
      <c r="F41" s="39">
        <v>0</v>
      </c>
      <c r="G41" s="49">
        <f t="shared" si="7"/>
        <v>0</v>
      </c>
      <c r="H41" s="42">
        <f t="shared" si="8"/>
        <v>24</v>
      </c>
      <c r="I41" s="50">
        <f t="shared" si="9"/>
        <v>2.9799116704515684E-5</v>
      </c>
    </row>
    <row r="42" spans="1:9" x14ac:dyDescent="0.2">
      <c r="A42" s="38" t="s">
        <v>50</v>
      </c>
      <c r="B42" s="39">
        <v>14</v>
      </c>
      <c r="C42" s="49">
        <f t="shared" si="5"/>
        <v>1.5509887553315238E-4</v>
      </c>
      <c r="D42" s="39">
        <v>33</v>
      </c>
      <c r="E42" s="49">
        <f t="shared" si="6"/>
        <v>4.6450544949347791E-5</v>
      </c>
      <c r="F42" s="39">
        <v>0</v>
      </c>
      <c r="G42" s="49">
        <f t="shared" si="7"/>
        <v>0</v>
      </c>
      <c r="H42" s="42">
        <f t="shared" si="8"/>
        <v>47</v>
      </c>
      <c r="I42" s="50">
        <f t="shared" si="9"/>
        <v>5.8356603546343215E-5</v>
      </c>
    </row>
    <row r="43" spans="1:9" x14ac:dyDescent="0.2">
      <c r="A43" s="38" t="s">
        <v>51</v>
      </c>
      <c r="B43" s="39">
        <v>10</v>
      </c>
      <c r="C43" s="49">
        <f t="shared" si="5"/>
        <v>1.1078491109510885E-4</v>
      </c>
      <c r="D43" s="39">
        <v>11</v>
      </c>
      <c r="E43" s="49">
        <f t="shared" si="6"/>
        <v>1.5483514983115929E-5</v>
      </c>
      <c r="F43" s="39">
        <v>0</v>
      </c>
      <c r="G43" s="49">
        <f t="shared" si="7"/>
        <v>0</v>
      </c>
      <c r="H43" s="42">
        <f t="shared" si="8"/>
        <v>21</v>
      </c>
      <c r="I43" s="50">
        <f t="shared" si="9"/>
        <v>2.6074227116451224E-5</v>
      </c>
    </row>
    <row r="44" spans="1:9" x14ac:dyDescent="0.2">
      <c r="A44" s="44" t="s">
        <v>18</v>
      </c>
      <c r="B44" s="42">
        <f>SUM(B28:B43)</f>
        <v>90265</v>
      </c>
      <c r="C44" s="50">
        <f t="shared" si="5"/>
        <v>1</v>
      </c>
      <c r="D44" s="42">
        <f t="shared" ref="D44:H44" si="10">SUM(D28:D43)</f>
        <v>710433</v>
      </c>
      <c r="E44" s="50">
        <f t="shared" si="6"/>
        <v>1</v>
      </c>
      <c r="F44" s="42">
        <f t="shared" si="10"/>
        <v>4695</v>
      </c>
      <c r="G44" s="50">
        <f t="shared" si="7"/>
        <v>1</v>
      </c>
      <c r="H44" s="42">
        <f t="shared" si="10"/>
        <v>805393</v>
      </c>
      <c r="I44" s="50">
        <f t="shared" si="9"/>
        <v>1</v>
      </c>
    </row>
    <row r="47" spans="1:9" x14ac:dyDescent="0.2">
      <c r="A47" s="36" t="s">
        <v>73</v>
      </c>
    </row>
    <row r="49" spans="1:9" x14ac:dyDescent="0.2">
      <c r="A49" s="60" t="s">
        <v>65</v>
      </c>
      <c r="B49" s="89" t="s">
        <v>0</v>
      </c>
      <c r="C49" s="89"/>
      <c r="D49" s="89" t="s">
        <v>30</v>
      </c>
      <c r="E49" s="89"/>
      <c r="F49" s="89" t="s">
        <v>31</v>
      </c>
      <c r="G49" s="89"/>
      <c r="H49" s="87" t="s">
        <v>18</v>
      </c>
      <c r="I49" s="87"/>
    </row>
    <row r="50" spans="1:9" x14ac:dyDescent="0.2">
      <c r="A50" s="60" t="s">
        <v>66</v>
      </c>
      <c r="B50" s="60" t="s">
        <v>67</v>
      </c>
      <c r="C50" s="60" t="s">
        <v>68</v>
      </c>
      <c r="D50" s="60" t="s">
        <v>67</v>
      </c>
      <c r="E50" s="60" t="s">
        <v>68</v>
      </c>
      <c r="F50" s="60" t="s">
        <v>67</v>
      </c>
      <c r="G50" s="60" t="s">
        <v>68</v>
      </c>
      <c r="H50" s="59" t="s">
        <v>67</v>
      </c>
      <c r="I50" s="59" t="s">
        <v>68</v>
      </c>
    </row>
    <row r="51" spans="1:9" x14ac:dyDescent="0.2">
      <c r="A51" s="38" t="s">
        <v>36</v>
      </c>
      <c r="B51" s="39">
        <v>3277</v>
      </c>
      <c r="C51" s="49">
        <f>B51/89717</f>
        <v>3.6525964978766569E-2</v>
      </c>
      <c r="D51" s="39">
        <v>248556</v>
      </c>
      <c r="E51" s="49">
        <f>D51/706041</f>
        <v>0.3520418785877874</v>
      </c>
      <c r="F51" s="39">
        <v>29</v>
      </c>
      <c r="G51" s="49">
        <f>F51/4713</f>
        <v>6.1531932951410994E-3</v>
      </c>
      <c r="H51" s="42">
        <f>B51+D51+F51</f>
        <v>251862</v>
      </c>
      <c r="I51" s="50">
        <f>H51/800471</f>
        <v>0.31464225437273807</v>
      </c>
    </row>
    <row r="52" spans="1:9" x14ac:dyDescent="0.2">
      <c r="A52" s="38" t="s">
        <v>37</v>
      </c>
      <c r="B52" s="39">
        <v>84691</v>
      </c>
      <c r="C52" s="49">
        <f t="shared" ref="C52:C67" si="11">B52/89717</f>
        <v>0.94397940189707641</v>
      </c>
      <c r="D52" s="39">
        <v>404745</v>
      </c>
      <c r="E52" s="49">
        <f t="shared" ref="E52:E67" si="12">D52/706041</f>
        <v>0.57325990983526454</v>
      </c>
      <c r="F52" s="39">
        <v>4674</v>
      </c>
      <c r="G52" s="49">
        <f t="shared" ref="G52:G67" si="13">F52/4713</f>
        <v>0.99172501591343099</v>
      </c>
      <c r="H52" s="42">
        <f t="shared" ref="H52:H66" si="14">B52+D52+F52</f>
        <v>494110</v>
      </c>
      <c r="I52" s="50">
        <f t="shared" ref="I52:I67" si="15">H52/800471</f>
        <v>0.61727407988546745</v>
      </c>
    </row>
    <row r="53" spans="1:9" x14ac:dyDescent="0.2">
      <c r="A53" s="38" t="s">
        <v>38</v>
      </c>
      <c r="B53" s="39">
        <v>18</v>
      </c>
      <c r="C53" s="49">
        <f t="shared" si="11"/>
        <v>2.0063087263283435E-4</v>
      </c>
      <c r="D53" s="39">
        <v>9</v>
      </c>
      <c r="E53" s="49">
        <f t="shared" si="12"/>
        <v>1.2747135081390457E-5</v>
      </c>
      <c r="F53" s="39">
        <v>0</v>
      </c>
      <c r="G53" s="49">
        <f t="shared" si="13"/>
        <v>0</v>
      </c>
      <c r="H53" s="42">
        <f t="shared" si="14"/>
        <v>27</v>
      </c>
      <c r="I53" s="50">
        <f t="shared" si="15"/>
        <v>3.3730141379262956E-5</v>
      </c>
    </row>
    <row r="54" spans="1:9" x14ac:dyDescent="0.2">
      <c r="A54" s="38" t="s">
        <v>39</v>
      </c>
      <c r="B54" s="39">
        <v>0</v>
      </c>
      <c r="C54" s="49">
        <f t="shared" si="11"/>
        <v>0</v>
      </c>
      <c r="D54" s="39">
        <v>73</v>
      </c>
      <c r="E54" s="49">
        <f t="shared" si="12"/>
        <v>1.0339342899350038E-4</v>
      </c>
      <c r="F54" s="39">
        <v>0</v>
      </c>
      <c r="G54" s="49">
        <f t="shared" si="13"/>
        <v>0</v>
      </c>
      <c r="H54" s="42">
        <f t="shared" si="14"/>
        <v>73</v>
      </c>
      <c r="I54" s="50">
        <f t="shared" si="15"/>
        <v>9.1196308173562812E-5</v>
      </c>
    </row>
    <row r="55" spans="1:9" x14ac:dyDescent="0.2">
      <c r="A55" s="38" t="s">
        <v>40</v>
      </c>
      <c r="B55" s="39">
        <v>0</v>
      </c>
      <c r="C55" s="49">
        <f t="shared" si="11"/>
        <v>0</v>
      </c>
      <c r="D55" s="39">
        <v>2</v>
      </c>
      <c r="E55" s="49">
        <f t="shared" si="12"/>
        <v>2.8326966847534348E-6</v>
      </c>
      <c r="F55" s="39">
        <v>0</v>
      </c>
      <c r="G55" s="49">
        <f t="shared" si="13"/>
        <v>0</v>
      </c>
      <c r="H55" s="42">
        <f t="shared" si="14"/>
        <v>2</v>
      </c>
      <c r="I55" s="50">
        <f t="shared" si="15"/>
        <v>2.4985289910565154E-6</v>
      </c>
    </row>
    <row r="56" spans="1:9" x14ac:dyDescent="0.2">
      <c r="A56" s="38" t="s">
        <v>41</v>
      </c>
      <c r="B56" s="39">
        <v>14</v>
      </c>
      <c r="C56" s="49">
        <f t="shared" si="11"/>
        <v>1.5604623426998228E-4</v>
      </c>
      <c r="D56" s="39">
        <v>369</v>
      </c>
      <c r="E56" s="49">
        <f t="shared" si="12"/>
        <v>5.2263253833700874E-4</v>
      </c>
      <c r="F56" s="39">
        <v>1</v>
      </c>
      <c r="G56" s="49">
        <f t="shared" si="13"/>
        <v>2.1217907914279651E-4</v>
      </c>
      <c r="H56" s="42">
        <f t="shared" si="14"/>
        <v>384</v>
      </c>
      <c r="I56" s="50">
        <f t="shared" si="15"/>
        <v>4.7971756628285096E-4</v>
      </c>
    </row>
    <row r="57" spans="1:9" x14ac:dyDescent="0.2">
      <c r="A57" s="38" t="s">
        <v>42</v>
      </c>
      <c r="B57" s="39">
        <v>0</v>
      </c>
      <c r="C57" s="49">
        <f t="shared" si="11"/>
        <v>0</v>
      </c>
      <c r="D57" s="39">
        <v>0</v>
      </c>
      <c r="E57" s="49">
        <f t="shared" si="12"/>
        <v>0</v>
      </c>
      <c r="F57" s="39">
        <v>0</v>
      </c>
      <c r="G57" s="49">
        <f t="shared" si="13"/>
        <v>0</v>
      </c>
      <c r="H57" s="42">
        <f t="shared" si="14"/>
        <v>0</v>
      </c>
      <c r="I57" s="50">
        <f t="shared" si="15"/>
        <v>0</v>
      </c>
    </row>
    <row r="58" spans="1:9" x14ac:dyDescent="0.2">
      <c r="A58" s="38" t="s">
        <v>43</v>
      </c>
      <c r="B58" s="39">
        <v>1260</v>
      </c>
      <c r="C58" s="49">
        <f t="shared" si="11"/>
        <v>1.4044161084298405E-2</v>
      </c>
      <c r="D58" s="39">
        <v>36719</v>
      </c>
      <c r="E58" s="49">
        <f t="shared" si="12"/>
        <v>5.2006894783730689E-2</v>
      </c>
      <c r="F58" s="39">
        <v>6</v>
      </c>
      <c r="G58" s="49">
        <f t="shared" si="13"/>
        <v>1.273074474856779E-3</v>
      </c>
      <c r="H58" s="42">
        <f t="shared" si="14"/>
        <v>37985</v>
      </c>
      <c r="I58" s="50">
        <f t="shared" si="15"/>
        <v>4.7453311862640873E-2</v>
      </c>
    </row>
    <row r="59" spans="1:9" x14ac:dyDescent="0.2">
      <c r="A59" s="38" t="s">
        <v>44</v>
      </c>
      <c r="B59" s="39">
        <v>16</v>
      </c>
      <c r="C59" s="49">
        <f t="shared" si="11"/>
        <v>1.7833855345140832E-4</v>
      </c>
      <c r="D59" s="39">
        <v>5</v>
      </c>
      <c r="E59" s="49">
        <f t="shared" si="12"/>
        <v>7.0817417118835872E-6</v>
      </c>
      <c r="F59" s="39">
        <v>3</v>
      </c>
      <c r="G59" s="49">
        <f t="shared" si="13"/>
        <v>6.3653723742838951E-4</v>
      </c>
      <c r="H59" s="42">
        <f t="shared" si="14"/>
        <v>24</v>
      </c>
      <c r="I59" s="50">
        <f t="shared" si="15"/>
        <v>2.9982347892678185E-5</v>
      </c>
    </row>
    <row r="60" spans="1:9" x14ac:dyDescent="0.2">
      <c r="A60" s="38" t="s">
        <v>45</v>
      </c>
      <c r="B60" s="39">
        <v>398</v>
      </c>
      <c r="C60" s="49">
        <f t="shared" si="11"/>
        <v>4.4361715171037817E-3</v>
      </c>
      <c r="D60" s="39">
        <v>15379</v>
      </c>
      <c r="E60" s="49">
        <f t="shared" si="12"/>
        <v>2.1782021157411537E-2</v>
      </c>
      <c r="F60" s="39">
        <v>0</v>
      </c>
      <c r="G60" s="49">
        <f t="shared" si="13"/>
        <v>0</v>
      </c>
      <c r="H60" s="42">
        <f t="shared" si="14"/>
        <v>15777</v>
      </c>
      <c r="I60" s="50">
        <f t="shared" si="15"/>
        <v>1.9709645945949324E-2</v>
      </c>
    </row>
    <row r="61" spans="1:9" x14ac:dyDescent="0.2">
      <c r="A61" s="38" t="s">
        <v>46</v>
      </c>
      <c r="B61" s="39">
        <v>5</v>
      </c>
      <c r="C61" s="49">
        <f t="shared" si="11"/>
        <v>5.5730797953565098E-5</v>
      </c>
      <c r="D61" s="39">
        <v>128</v>
      </c>
      <c r="E61" s="49">
        <f t="shared" si="12"/>
        <v>1.8129258782421983E-4</v>
      </c>
      <c r="F61" s="39">
        <v>0</v>
      </c>
      <c r="G61" s="49">
        <f t="shared" si="13"/>
        <v>0</v>
      </c>
      <c r="H61" s="42">
        <f t="shared" si="14"/>
        <v>133</v>
      </c>
      <c r="I61" s="50">
        <f t="shared" si="15"/>
        <v>1.6615217790525829E-4</v>
      </c>
    </row>
    <row r="62" spans="1:9" x14ac:dyDescent="0.2">
      <c r="A62" s="38" t="s">
        <v>47</v>
      </c>
      <c r="B62" s="39">
        <v>8</v>
      </c>
      <c r="C62" s="49">
        <f t="shared" si="11"/>
        <v>8.9169276725704159E-5</v>
      </c>
      <c r="D62" s="39">
        <v>4</v>
      </c>
      <c r="E62" s="49">
        <f t="shared" si="12"/>
        <v>5.6653933695068696E-6</v>
      </c>
      <c r="F62" s="39">
        <v>0</v>
      </c>
      <c r="G62" s="49">
        <f t="shared" si="13"/>
        <v>0</v>
      </c>
      <c r="H62" s="42">
        <f t="shared" si="14"/>
        <v>12</v>
      </c>
      <c r="I62" s="50">
        <f t="shared" si="15"/>
        <v>1.4991173946339093E-5</v>
      </c>
    </row>
    <row r="63" spans="1:9" x14ac:dyDescent="0.2">
      <c r="A63" s="38" t="s">
        <v>48</v>
      </c>
      <c r="B63" s="39">
        <v>0</v>
      </c>
      <c r="C63" s="49">
        <f t="shared" si="11"/>
        <v>0</v>
      </c>
      <c r="D63" s="39">
        <v>0</v>
      </c>
      <c r="E63" s="49">
        <f t="shared" si="12"/>
        <v>0</v>
      </c>
      <c r="F63" s="39">
        <v>0</v>
      </c>
      <c r="G63" s="49">
        <f t="shared" si="13"/>
        <v>0</v>
      </c>
      <c r="H63" s="42">
        <f t="shared" si="14"/>
        <v>0</v>
      </c>
      <c r="I63" s="50">
        <f t="shared" si="15"/>
        <v>0</v>
      </c>
    </row>
    <row r="64" spans="1:9" x14ac:dyDescent="0.2">
      <c r="A64" s="38" t="s">
        <v>49</v>
      </c>
      <c r="B64" s="39">
        <v>10</v>
      </c>
      <c r="C64" s="49">
        <f t="shared" si="11"/>
        <v>1.114615959071302E-4</v>
      </c>
      <c r="D64" s="39">
        <v>12</v>
      </c>
      <c r="E64" s="49">
        <f t="shared" si="12"/>
        <v>1.6996180108520611E-5</v>
      </c>
      <c r="F64" s="39">
        <v>0</v>
      </c>
      <c r="G64" s="49">
        <f t="shared" si="13"/>
        <v>0</v>
      </c>
      <c r="H64" s="42">
        <f t="shared" si="14"/>
        <v>22</v>
      </c>
      <c r="I64" s="50">
        <f t="shared" si="15"/>
        <v>2.7483818901621671E-5</v>
      </c>
    </row>
    <row r="65" spans="1:9" x14ac:dyDescent="0.2">
      <c r="A65" s="38" t="s">
        <v>50</v>
      </c>
      <c r="B65" s="39">
        <v>10</v>
      </c>
      <c r="C65" s="49">
        <f t="shared" si="11"/>
        <v>1.114615959071302E-4</v>
      </c>
      <c r="D65" s="39">
        <v>29</v>
      </c>
      <c r="E65" s="49">
        <f t="shared" si="12"/>
        <v>4.1074101928924807E-5</v>
      </c>
      <c r="F65" s="39">
        <v>0</v>
      </c>
      <c r="G65" s="49">
        <f t="shared" si="13"/>
        <v>0</v>
      </c>
      <c r="H65" s="42">
        <f t="shared" si="14"/>
        <v>39</v>
      </c>
      <c r="I65" s="50">
        <f t="shared" si="15"/>
        <v>4.8721315325602052E-5</v>
      </c>
    </row>
    <row r="66" spans="1:9" x14ac:dyDescent="0.2">
      <c r="A66" s="38" t="s">
        <v>51</v>
      </c>
      <c r="B66" s="39">
        <v>10</v>
      </c>
      <c r="C66" s="49">
        <f t="shared" si="11"/>
        <v>1.114615959071302E-4</v>
      </c>
      <c r="D66" s="39">
        <v>11</v>
      </c>
      <c r="E66" s="49">
        <f t="shared" si="12"/>
        <v>1.5579831766143894E-5</v>
      </c>
      <c r="F66" s="39">
        <v>0</v>
      </c>
      <c r="G66" s="49">
        <f t="shared" si="13"/>
        <v>0</v>
      </c>
      <c r="H66" s="42">
        <f t="shared" si="14"/>
        <v>21</v>
      </c>
      <c r="I66" s="50">
        <f t="shared" si="15"/>
        <v>2.6234554406093411E-5</v>
      </c>
    </row>
    <row r="67" spans="1:9" x14ac:dyDescent="0.2">
      <c r="A67" s="44" t="s">
        <v>18</v>
      </c>
      <c r="B67" s="42">
        <f>SUM(B51:B66)</f>
        <v>89717</v>
      </c>
      <c r="C67" s="50">
        <f t="shared" si="11"/>
        <v>1</v>
      </c>
      <c r="D67" s="42">
        <f t="shared" ref="D67:H67" si="16">SUM(D51:D66)</f>
        <v>706041</v>
      </c>
      <c r="E67" s="50">
        <f t="shared" si="12"/>
        <v>1</v>
      </c>
      <c r="F67" s="42">
        <f t="shared" si="16"/>
        <v>4713</v>
      </c>
      <c r="G67" s="50">
        <f t="shared" si="13"/>
        <v>1</v>
      </c>
      <c r="H67" s="42">
        <f t="shared" si="16"/>
        <v>800471</v>
      </c>
      <c r="I67" s="50">
        <f t="shared" si="15"/>
        <v>1</v>
      </c>
    </row>
    <row r="70" spans="1:9" x14ac:dyDescent="0.2">
      <c r="A70" s="36" t="s">
        <v>72</v>
      </c>
    </row>
    <row r="72" spans="1:9" x14ac:dyDescent="0.2">
      <c r="A72" s="58" t="s">
        <v>65</v>
      </c>
      <c r="B72" s="88" t="s">
        <v>0</v>
      </c>
      <c r="C72" s="88"/>
      <c r="D72" s="88" t="s">
        <v>30</v>
      </c>
      <c r="E72" s="88"/>
      <c r="F72" s="88" t="s">
        <v>31</v>
      </c>
      <c r="G72" s="88"/>
      <c r="H72" s="87" t="s">
        <v>18</v>
      </c>
      <c r="I72" s="87"/>
    </row>
    <row r="73" spans="1:9" x14ac:dyDescent="0.2">
      <c r="A73" s="58" t="s">
        <v>66</v>
      </c>
      <c r="B73" s="58" t="s">
        <v>67</v>
      </c>
      <c r="C73" s="58" t="s">
        <v>68</v>
      </c>
      <c r="D73" s="58" t="s">
        <v>67</v>
      </c>
      <c r="E73" s="58" t="s">
        <v>68</v>
      </c>
      <c r="F73" s="58" t="s">
        <v>67</v>
      </c>
      <c r="G73" s="58" t="s">
        <v>68</v>
      </c>
      <c r="H73" s="53" t="s">
        <v>67</v>
      </c>
      <c r="I73" s="53" t="s">
        <v>68</v>
      </c>
    </row>
    <row r="74" spans="1:9" x14ac:dyDescent="0.2">
      <c r="A74" s="38" t="s">
        <v>36</v>
      </c>
      <c r="B74" s="39">
        <v>3238</v>
      </c>
      <c r="C74" s="49">
        <f>B74/87600</f>
        <v>3.6963470319634706E-2</v>
      </c>
      <c r="D74" s="39">
        <v>247085</v>
      </c>
      <c r="E74" s="49">
        <f>D74/693385</f>
        <v>0.35634604152094435</v>
      </c>
      <c r="F74" s="39">
        <v>27</v>
      </c>
      <c r="G74" s="49">
        <f>F74/4676</f>
        <v>5.774165953806672E-3</v>
      </c>
      <c r="H74" s="42">
        <f>B74+D74+F74</f>
        <v>250350</v>
      </c>
      <c r="I74" s="50">
        <f>H74/785661</f>
        <v>0.31864888291515042</v>
      </c>
    </row>
    <row r="75" spans="1:9" x14ac:dyDescent="0.2">
      <c r="A75" s="38" t="s">
        <v>37</v>
      </c>
      <c r="B75" s="39">
        <v>82627</v>
      </c>
      <c r="C75" s="49">
        <f t="shared" ref="C75:C90" si="17">B75/87600</f>
        <v>0.94323059360730599</v>
      </c>
      <c r="D75" s="39">
        <v>393871</v>
      </c>
      <c r="E75" s="49">
        <f t="shared" ref="E75:E90" si="18">D75/693385</f>
        <v>0.56804084311024905</v>
      </c>
      <c r="F75" s="39">
        <v>4639</v>
      </c>
      <c r="G75" s="49">
        <f t="shared" ref="G75:G90" si="19">F75/4676</f>
        <v>0.992087254063302</v>
      </c>
      <c r="H75" s="42">
        <f t="shared" ref="H75:H89" si="20">B75+D75+F75</f>
        <v>481137</v>
      </c>
      <c r="I75" s="50">
        <f t="shared" ref="I75:I90" si="21">H75/785661</f>
        <v>0.61239771351766215</v>
      </c>
    </row>
    <row r="76" spans="1:9" x14ac:dyDescent="0.2">
      <c r="A76" s="38" t="s">
        <v>38</v>
      </c>
      <c r="B76" s="39">
        <v>18</v>
      </c>
      <c r="C76" s="49">
        <f t="shared" si="17"/>
        <v>2.0547945205479453E-4</v>
      </c>
      <c r="D76" s="39">
        <v>9</v>
      </c>
      <c r="E76" s="49">
        <f t="shared" si="18"/>
        <v>1.2979801985909705E-5</v>
      </c>
      <c r="F76" s="39">
        <v>0</v>
      </c>
      <c r="G76" s="49">
        <f t="shared" si="19"/>
        <v>0</v>
      </c>
      <c r="H76" s="42">
        <f t="shared" si="20"/>
        <v>27</v>
      </c>
      <c r="I76" s="50">
        <f t="shared" si="21"/>
        <v>3.4365967001034795E-5</v>
      </c>
    </row>
    <row r="77" spans="1:9" x14ac:dyDescent="0.2">
      <c r="A77" s="38" t="s">
        <v>39</v>
      </c>
      <c r="B77" s="39">
        <v>0</v>
      </c>
      <c r="C77" s="49">
        <f t="shared" si="17"/>
        <v>0</v>
      </c>
      <c r="D77" s="39">
        <v>66</v>
      </c>
      <c r="E77" s="49">
        <f t="shared" si="18"/>
        <v>9.5185214563337832E-5</v>
      </c>
      <c r="F77" s="39">
        <v>0</v>
      </c>
      <c r="G77" s="49">
        <f t="shared" si="19"/>
        <v>0</v>
      </c>
      <c r="H77" s="42">
        <f t="shared" si="20"/>
        <v>66</v>
      </c>
      <c r="I77" s="50">
        <f t="shared" si="21"/>
        <v>8.400569711364061E-5</v>
      </c>
    </row>
    <row r="78" spans="1:9" x14ac:dyDescent="0.2">
      <c r="A78" s="38" t="s">
        <v>40</v>
      </c>
      <c r="B78" s="39">
        <v>0</v>
      </c>
      <c r="C78" s="49">
        <f t="shared" si="17"/>
        <v>0</v>
      </c>
      <c r="D78" s="39">
        <v>1</v>
      </c>
      <c r="E78" s="49">
        <f t="shared" si="18"/>
        <v>1.4422002206566338E-6</v>
      </c>
      <c r="F78" s="39">
        <v>0</v>
      </c>
      <c r="G78" s="49">
        <f t="shared" si="19"/>
        <v>0</v>
      </c>
      <c r="H78" s="42">
        <f t="shared" si="20"/>
        <v>1</v>
      </c>
      <c r="I78" s="50">
        <f t="shared" si="21"/>
        <v>1.2728135926309185E-6</v>
      </c>
    </row>
    <row r="79" spans="1:9" x14ac:dyDescent="0.2">
      <c r="A79" s="38" t="s">
        <v>41</v>
      </c>
      <c r="B79" s="39">
        <v>13</v>
      </c>
      <c r="C79" s="49">
        <f t="shared" si="17"/>
        <v>1.4840182648401826E-4</v>
      </c>
      <c r="D79" s="39">
        <v>332</v>
      </c>
      <c r="E79" s="49">
        <f t="shared" si="18"/>
        <v>4.7881047325800243E-4</v>
      </c>
      <c r="F79" s="39">
        <v>1</v>
      </c>
      <c r="G79" s="49">
        <f t="shared" si="19"/>
        <v>2.13857998289136E-4</v>
      </c>
      <c r="H79" s="42">
        <f t="shared" si="20"/>
        <v>346</v>
      </c>
      <c r="I79" s="50">
        <f t="shared" si="21"/>
        <v>4.4039350305029778E-4</v>
      </c>
    </row>
    <row r="80" spans="1:9" x14ac:dyDescent="0.2">
      <c r="A80" s="38" t="s">
        <v>42</v>
      </c>
      <c r="B80" s="39">
        <v>0</v>
      </c>
      <c r="C80" s="49">
        <f t="shared" si="17"/>
        <v>0</v>
      </c>
      <c r="D80" s="39">
        <v>0</v>
      </c>
      <c r="E80" s="49">
        <f t="shared" si="18"/>
        <v>0</v>
      </c>
      <c r="F80" s="39">
        <v>0</v>
      </c>
      <c r="G80" s="49">
        <f t="shared" si="19"/>
        <v>0</v>
      </c>
      <c r="H80" s="42">
        <f t="shared" si="20"/>
        <v>0</v>
      </c>
      <c r="I80" s="50">
        <f t="shared" si="21"/>
        <v>0</v>
      </c>
    </row>
    <row r="81" spans="1:9" x14ac:dyDescent="0.2">
      <c r="A81" s="38" t="s">
        <v>43</v>
      </c>
      <c r="B81" s="39">
        <v>1270</v>
      </c>
      <c r="C81" s="49">
        <f t="shared" si="17"/>
        <v>1.449771689497717E-2</v>
      </c>
      <c r="D81" s="39">
        <v>37708</v>
      </c>
      <c r="E81" s="49">
        <f t="shared" si="18"/>
        <v>5.4382485920520349E-2</v>
      </c>
      <c r="F81" s="39">
        <v>6</v>
      </c>
      <c r="G81" s="49">
        <f t="shared" si="19"/>
        <v>1.2831479897348161E-3</v>
      </c>
      <c r="H81" s="42">
        <f t="shared" si="20"/>
        <v>38984</v>
      </c>
      <c r="I81" s="50">
        <f t="shared" si="21"/>
        <v>4.9619365095123727E-2</v>
      </c>
    </row>
    <row r="82" spans="1:9" x14ac:dyDescent="0.2">
      <c r="A82" s="38" t="s">
        <v>44</v>
      </c>
      <c r="B82" s="39">
        <v>16</v>
      </c>
      <c r="C82" s="49">
        <f t="shared" si="17"/>
        <v>1.8264840182648402E-4</v>
      </c>
      <c r="D82" s="39">
        <v>5</v>
      </c>
      <c r="E82" s="49">
        <f t="shared" si="18"/>
        <v>7.2110011032831686E-6</v>
      </c>
      <c r="F82" s="39">
        <v>3</v>
      </c>
      <c r="G82" s="49">
        <f t="shared" si="19"/>
        <v>6.4157399486740806E-4</v>
      </c>
      <c r="H82" s="42">
        <f t="shared" si="20"/>
        <v>24</v>
      </c>
      <c r="I82" s="50">
        <f t="shared" si="21"/>
        <v>3.0547526223142044E-5</v>
      </c>
    </row>
    <row r="83" spans="1:9" x14ac:dyDescent="0.2">
      <c r="A83" s="38" t="s">
        <v>45</v>
      </c>
      <c r="B83" s="39">
        <v>379</v>
      </c>
      <c r="C83" s="49">
        <f t="shared" si="17"/>
        <v>4.3264840182648404E-3</v>
      </c>
      <c r="D83" s="39">
        <v>14130</v>
      </c>
      <c r="E83" s="49">
        <f t="shared" si="18"/>
        <v>2.0378289117878236E-2</v>
      </c>
      <c r="F83" s="39">
        <v>0</v>
      </c>
      <c r="G83" s="49">
        <f t="shared" si="19"/>
        <v>0</v>
      </c>
      <c r="H83" s="42">
        <f t="shared" si="20"/>
        <v>14509</v>
      </c>
      <c r="I83" s="50">
        <f t="shared" si="21"/>
        <v>1.8467252415481996E-2</v>
      </c>
    </row>
    <row r="84" spans="1:9" x14ac:dyDescent="0.2">
      <c r="A84" s="38" t="s">
        <v>46</v>
      </c>
      <c r="B84" s="39">
        <v>5</v>
      </c>
      <c r="C84" s="49">
        <f t="shared" si="17"/>
        <v>5.7077625570776254E-5</v>
      </c>
      <c r="D84" s="39">
        <v>126</v>
      </c>
      <c r="E84" s="49">
        <f t="shared" si="18"/>
        <v>1.8171722780273584E-4</v>
      </c>
      <c r="F84" s="39">
        <v>0</v>
      </c>
      <c r="G84" s="49">
        <f t="shared" si="19"/>
        <v>0</v>
      </c>
      <c r="H84" s="42">
        <f t="shared" si="20"/>
        <v>131</v>
      </c>
      <c r="I84" s="50">
        <f t="shared" si="21"/>
        <v>1.6673858063465032E-4</v>
      </c>
    </row>
    <row r="85" spans="1:9" x14ac:dyDescent="0.2">
      <c r="A85" s="38" t="s">
        <v>47</v>
      </c>
      <c r="B85" s="39">
        <v>7</v>
      </c>
      <c r="C85" s="49">
        <f t="shared" si="17"/>
        <v>7.9908675799086757E-5</v>
      </c>
      <c r="D85" s="39">
        <v>3</v>
      </c>
      <c r="E85" s="49">
        <f t="shared" si="18"/>
        <v>4.326600661969901E-6</v>
      </c>
      <c r="F85" s="39">
        <v>0</v>
      </c>
      <c r="G85" s="49">
        <f t="shared" si="19"/>
        <v>0</v>
      </c>
      <c r="H85" s="42">
        <f t="shared" si="20"/>
        <v>10</v>
      </c>
      <c r="I85" s="50">
        <f t="shared" si="21"/>
        <v>1.2728135926309185E-5</v>
      </c>
    </row>
    <row r="86" spans="1:9" x14ac:dyDescent="0.2">
      <c r="A86" s="38" t="s">
        <v>48</v>
      </c>
      <c r="B86" s="39">
        <v>0</v>
      </c>
      <c r="C86" s="49">
        <f t="shared" si="17"/>
        <v>0</v>
      </c>
      <c r="D86" s="39">
        <v>0</v>
      </c>
      <c r="E86" s="49">
        <f t="shared" si="18"/>
        <v>0</v>
      </c>
      <c r="F86" s="39">
        <v>0</v>
      </c>
      <c r="G86" s="49">
        <f t="shared" si="19"/>
        <v>0</v>
      </c>
      <c r="H86" s="42">
        <f t="shared" si="20"/>
        <v>0</v>
      </c>
      <c r="I86" s="50">
        <f t="shared" si="21"/>
        <v>0</v>
      </c>
    </row>
    <row r="87" spans="1:9" x14ac:dyDescent="0.2">
      <c r="A87" s="38" t="s">
        <v>49</v>
      </c>
      <c r="B87" s="39">
        <v>9</v>
      </c>
      <c r="C87" s="49">
        <f t="shared" si="17"/>
        <v>1.0273972602739727E-4</v>
      </c>
      <c r="D87" s="39">
        <v>12</v>
      </c>
      <c r="E87" s="49">
        <f t="shared" si="18"/>
        <v>1.7306402647879604E-5</v>
      </c>
      <c r="F87" s="39">
        <v>0</v>
      </c>
      <c r="G87" s="49">
        <f t="shared" si="19"/>
        <v>0</v>
      </c>
      <c r="H87" s="42">
        <f t="shared" si="20"/>
        <v>21</v>
      </c>
      <c r="I87" s="50">
        <f t="shared" si="21"/>
        <v>2.6729085445249286E-5</v>
      </c>
    </row>
    <row r="88" spans="1:9" x14ac:dyDescent="0.2">
      <c r="A88" s="38" t="s">
        <v>50</v>
      </c>
      <c r="B88" s="39">
        <v>8</v>
      </c>
      <c r="C88" s="49">
        <f t="shared" si="17"/>
        <v>9.1324200913242012E-5</v>
      </c>
      <c r="D88" s="39">
        <v>27</v>
      </c>
      <c r="E88" s="49">
        <f t="shared" si="18"/>
        <v>3.893940595772911E-5</v>
      </c>
      <c r="F88" s="39">
        <v>0</v>
      </c>
      <c r="G88" s="49">
        <f t="shared" si="19"/>
        <v>0</v>
      </c>
      <c r="H88" s="42">
        <f t="shared" si="20"/>
        <v>35</v>
      </c>
      <c r="I88" s="50">
        <f t="shared" si="21"/>
        <v>4.4548475742082143E-5</v>
      </c>
    </row>
    <row r="89" spans="1:9" x14ac:dyDescent="0.2">
      <c r="A89" s="38" t="s">
        <v>51</v>
      </c>
      <c r="B89" s="39">
        <v>10</v>
      </c>
      <c r="C89" s="49">
        <f t="shared" si="17"/>
        <v>1.1415525114155251E-4</v>
      </c>
      <c r="D89" s="39">
        <v>10</v>
      </c>
      <c r="E89" s="49">
        <f t="shared" si="18"/>
        <v>1.4422002206566337E-5</v>
      </c>
      <c r="F89" s="39">
        <v>0</v>
      </c>
      <c r="G89" s="49">
        <f t="shared" si="19"/>
        <v>0</v>
      </c>
      <c r="H89" s="42">
        <f t="shared" si="20"/>
        <v>20</v>
      </c>
      <c r="I89" s="50">
        <f t="shared" si="21"/>
        <v>2.545627185261837E-5</v>
      </c>
    </row>
    <row r="90" spans="1:9" x14ac:dyDescent="0.2">
      <c r="A90" s="44" t="s">
        <v>18</v>
      </c>
      <c r="B90" s="42">
        <f>SUM(B74:B89)</f>
        <v>87600</v>
      </c>
      <c r="C90" s="50">
        <f t="shared" si="17"/>
        <v>1</v>
      </c>
      <c r="D90" s="42">
        <f t="shared" ref="D90:H90" si="22">SUM(D74:D89)</f>
        <v>693385</v>
      </c>
      <c r="E90" s="50">
        <f t="shared" si="18"/>
        <v>1</v>
      </c>
      <c r="F90" s="42">
        <f t="shared" si="22"/>
        <v>4676</v>
      </c>
      <c r="G90" s="50">
        <f t="shared" si="19"/>
        <v>1</v>
      </c>
      <c r="H90" s="42">
        <f t="shared" si="22"/>
        <v>785661</v>
      </c>
      <c r="I90" s="50">
        <f t="shared" si="21"/>
        <v>1</v>
      </c>
    </row>
    <row r="93" spans="1:9" x14ac:dyDescent="0.2">
      <c r="A93" s="36" t="s">
        <v>71</v>
      </c>
    </row>
    <row r="95" spans="1:9" x14ac:dyDescent="0.2">
      <c r="A95" s="58" t="s">
        <v>65</v>
      </c>
      <c r="B95" s="88" t="s">
        <v>0</v>
      </c>
      <c r="C95" s="88"/>
      <c r="D95" s="88" t="s">
        <v>30</v>
      </c>
      <c r="E95" s="88"/>
      <c r="F95" s="88" t="s">
        <v>31</v>
      </c>
      <c r="G95" s="88"/>
      <c r="H95" s="87" t="s">
        <v>18</v>
      </c>
      <c r="I95" s="87"/>
    </row>
    <row r="96" spans="1:9" x14ac:dyDescent="0.2">
      <c r="A96" s="58" t="s">
        <v>66</v>
      </c>
      <c r="B96" s="58" t="s">
        <v>67</v>
      </c>
      <c r="C96" s="58" t="s">
        <v>68</v>
      </c>
      <c r="D96" s="58" t="s">
        <v>67</v>
      </c>
      <c r="E96" s="58" t="s">
        <v>68</v>
      </c>
      <c r="F96" s="58" t="s">
        <v>67</v>
      </c>
      <c r="G96" s="58" t="s">
        <v>68</v>
      </c>
      <c r="H96" s="53" t="s">
        <v>67</v>
      </c>
      <c r="I96" s="53" t="s">
        <v>68</v>
      </c>
    </row>
    <row r="97" spans="1:9" x14ac:dyDescent="0.2">
      <c r="A97" s="38" t="s">
        <v>36</v>
      </c>
      <c r="B97" s="39">
        <v>3293</v>
      </c>
      <c r="C97" s="49">
        <f>B97/87143</f>
        <v>3.7788462641864522E-2</v>
      </c>
      <c r="D97" s="39">
        <v>248926</v>
      </c>
      <c r="E97" s="49">
        <f>D97/689536</f>
        <v>0.36100508167811396</v>
      </c>
      <c r="F97" s="39">
        <v>28</v>
      </c>
      <c r="G97" s="49">
        <f>F97/4701</f>
        <v>5.9561795362688789E-3</v>
      </c>
      <c r="H97" s="42">
        <f>B97+D97+F97</f>
        <v>252247</v>
      </c>
      <c r="I97" s="50">
        <f>H97/781380</f>
        <v>0.32282244234559371</v>
      </c>
    </row>
    <row r="98" spans="1:9" x14ac:dyDescent="0.2">
      <c r="A98" s="38" t="s">
        <v>37</v>
      </c>
      <c r="B98" s="39">
        <v>82098</v>
      </c>
      <c r="C98" s="49">
        <f t="shared" ref="C98:C113" si="23">B98/87143</f>
        <v>0.94210665228417656</v>
      </c>
      <c r="D98" s="39">
        <v>387995</v>
      </c>
      <c r="E98" s="49">
        <f t="shared" ref="E98:E113" si="24">D98/689536</f>
        <v>0.56268998282903282</v>
      </c>
      <c r="F98" s="39">
        <v>4663</v>
      </c>
      <c r="G98" s="49">
        <f t="shared" ref="G98:G113" si="25">F98/4701</f>
        <v>0.99191661348649218</v>
      </c>
      <c r="H98" s="42">
        <f t="shared" ref="H98:H112" si="26">B98+D98+F98</f>
        <v>474756</v>
      </c>
      <c r="I98" s="50">
        <f t="shared" ref="I98:I113" si="27">H98/781380</f>
        <v>0.60758657759348844</v>
      </c>
    </row>
    <row r="99" spans="1:9" x14ac:dyDescent="0.2">
      <c r="A99" s="38" t="s">
        <v>38</v>
      </c>
      <c r="B99" s="39">
        <v>18</v>
      </c>
      <c r="C99" s="49">
        <f t="shared" si="23"/>
        <v>2.0655703843108455E-4</v>
      </c>
      <c r="D99" s="39">
        <v>10</v>
      </c>
      <c r="E99" s="49">
        <f t="shared" si="24"/>
        <v>1.450250603304251E-5</v>
      </c>
      <c r="F99" s="39">
        <v>0</v>
      </c>
      <c r="G99" s="49">
        <f t="shared" si="25"/>
        <v>0</v>
      </c>
      <c r="H99" s="42">
        <f t="shared" si="26"/>
        <v>28</v>
      </c>
      <c r="I99" s="50">
        <f t="shared" si="27"/>
        <v>3.5834037216207224E-5</v>
      </c>
    </row>
    <row r="100" spans="1:9" x14ac:dyDescent="0.2">
      <c r="A100" s="38" t="s">
        <v>39</v>
      </c>
      <c r="B100" s="39">
        <v>0</v>
      </c>
      <c r="C100" s="49">
        <f t="shared" si="23"/>
        <v>0</v>
      </c>
      <c r="D100" s="39">
        <v>56</v>
      </c>
      <c r="E100" s="49">
        <f t="shared" si="24"/>
        <v>8.1214033785038053E-5</v>
      </c>
      <c r="F100" s="39">
        <v>0</v>
      </c>
      <c r="G100" s="49">
        <f t="shared" si="25"/>
        <v>0</v>
      </c>
      <c r="H100" s="42">
        <f t="shared" si="26"/>
        <v>56</v>
      </c>
      <c r="I100" s="50">
        <f t="shared" si="27"/>
        <v>7.1668074432414448E-5</v>
      </c>
    </row>
    <row r="101" spans="1:9" x14ac:dyDescent="0.2">
      <c r="A101" s="38" t="s">
        <v>40</v>
      </c>
      <c r="B101" s="39">
        <v>0</v>
      </c>
      <c r="C101" s="49">
        <f t="shared" si="23"/>
        <v>0</v>
      </c>
      <c r="D101" s="39">
        <v>1</v>
      </c>
      <c r="E101" s="49">
        <f t="shared" si="24"/>
        <v>1.450250603304251E-6</v>
      </c>
      <c r="F101" s="39">
        <v>0</v>
      </c>
      <c r="G101" s="49">
        <f t="shared" si="25"/>
        <v>0</v>
      </c>
      <c r="H101" s="42">
        <f t="shared" si="26"/>
        <v>1</v>
      </c>
      <c r="I101" s="50">
        <f t="shared" si="27"/>
        <v>1.2797870434359722E-6</v>
      </c>
    </row>
    <row r="102" spans="1:9" x14ac:dyDescent="0.2">
      <c r="A102" s="38" t="s">
        <v>41</v>
      </c>
      <c r="B102" s="39">
        <v>13</v>
      </c>
      <c r="C102" s="49">
        <f t="shared" si="23"/>
        <v>1.4918008331133884E-4</v>
      </c>
      <c r="D102" s="39">
        <v>312</v>
      </c>
      <c r="E102" s="49">
        <f t="shared" si="24"/>
        <v>4.5247818823092632E-4</v>
      </c>
      <c r="F102" s="39">
        <v>1</v>
      </c>
      <c r="G102" s="49">
        <f t="shared" si="25"/>
        <v>2.1272069772388852E-4</v>
      </c>
      <c r="H102" s="42">
        <f t="shared" si="26"/>
        <v>326</v>
      </c>
      <c r="I102" s="50">
        <f t="shared" si="27"/>
        <v>4.1721057616012693E-4</v>
      </c>
    </row>
    <row r="103" spans="1:9" x14ac:dyDescent="0.2">
      <c r="A103" s="38" t="s">
        <v>42</v>
      </c>
      <c r="B103" s="39">
        <v>0</v>
      </c>
      <c r="C103" s="49">
        <f t="shared" si="23"/>
        <v>0</v>
      </c>
      <c r="D103" s="39">
        <v>0</v>
      </c>
      <c r="E103" s="49">
        <f t="shared" si="24"/>
        <v>0</v>
      </c>
      <c r="F103" s="39">
        <v>0</v>
      </c>
      <c r="G103" s="49">
        <f t="shared" si="25"/>
        <v>0</v>
      </c>
      <c r="H103" s="42">
        <f t="shared" si="26"/>
        <v>0</v>
      </c>
      <c r="I103" s="50">
        <f t="shared" si="27"/>
        <v>0</v>
      </c>
    </row>
    <row r="104" spans="1:9" x14ac:dyDescent="0.2">
      <c r="A104" s="38" t="s">
        <v>43</v>
      </c>
      <c r="B104" s="39">
        <v>1316</v>
      </c>
      <c r="C104" s="49">
        <f t="shared" si="23"/>
        <v>1.5101614587517069E-2</v>
      </c>
      <c r="D104" s="39">
        <v>38949</v>
      </c>
      <c r="E104" s="49">
        <f t="shared" si="24"/>
        <v>5.6485810748097269E-2</v>
      </c>
      <c r="F104" s="39">
        <v>6</v>
      </c>
      <c r="G104" s="49">
        <f t="shared" si="25"/>
        <v>1.2763241863433313E-3</v>
      </c>
      <c r="H104" s="42">
        <f t="shared" si="26"/>
        <v>40271</v>
      </c>
      <c r="I104" s="50">
        <f t="shared" si="27"/>
        <v>5.1538304026210041E-2</v>
      </c>
    </row>
    <row r="105" spans="1:9" x14ac:dyDescent="0.2">
      <c r="A105" s="38" t="s">
        <v>44</v>
      </c>
      <c r="B105" s="39">
        <v>16</v>
      </c>
      <c r="C105" s="49">
        <f t="shared" si="23"/>
        <v>1.8360625638318625E-4</v>
      </c>
      <c r="D105" s="39">
        <v>5</v>
      </c>
      <c r="E105" s="49">
        <f t="shared" si="24"/>
        <v>7.2512530165212549E-6</v>
      </c>
      <c r="F105" s="39">
        <v>3</v>
      </c>
      <c r="G105" s="49">
        <f t="shared" si="25"/>
        <v>6.3816209317166565E-4</v>
      </c>
      <c r="H105" s="42">
        <f t="shared" si="26"/>
        <v>24</v>
      </c>
      <c r="I105" s="50">
        <f t="shared" si="27"/>
        <v>3.0714889042463337E-5</v>
      </c>
    </row>
    <row r="106" spans="1:9" x14ac:dyDescent="0.2">
      <c r="A106" s="38" t="s">
        <v>45</v>
      </c>
      <c r="B106" s="39">
        <v>349</v>
      </c>
      <c r="C106" s="49">
        <f t="shared" si="23"/>
        <v>4.0049114673582501E-3</v>
      </c>
      <c r="D106" s="39">
        <v>13115</v>
      </c>
      <c r="E106" s="49">
        <f t="shared" si="24"/>
        <v>1.9020036662335253E-2</v>
      </c>
      <c r="F106" s="39">
        <v>0</v>
      </c>
      <c r="G106" s="49">
        <f t="shared" si="25"/>
        <v>0</v>
      </c>
      <c r="H106" s="42">
        <f t="shared" si="26"/>
        <v>13464</v>
      </c>
      <c r="I106" s="50">
        <f t="shared" si="27"/>
        <v>1.723105275282193E-2</v>
      </c>
    </row>
    <row r="107" spans="1:9" x14ac:dyDescent="0.2">
      <c r="A107" s="38" t="s">
        <v>46</v>
      </c>
      <c r="B107" s="39">
        <v>6</v>
      </c>
      <c r="C107" s="49">
        <f t="shared" si="23"/>
        <v>6.8852346143694841E-5</v>
      </c>
      <c r="D107" s="39">
        <v>118</v>
      </c>
      <c r="E107" s="49">
        <f t="shared" si="24"/>
        <v>1.7112957118990162E-4</v>
      </c>
      <c r="F107" s="39">
        <v>0</v>
      </c>
      <c r="G107" s="49">
        <f t="shared" si="25"/>
        <v>0</v>
      </c>
      <c r="H107" s="42">
        <f t="shared" si="26"/>
        <v>124</v>
      </c>
      <c r="I107" s="50">
        <f t="shared" si="27"/>
        <v>1.5869359338606056E-4</v>
      </c>
    </row>
    <row r="108" spans="1:9" x14ac:dyDescent="0.2">
      <c r="A108" s="38" t="s">
        <v>47</v>
      </c>
      <c r="B108" s="39">
        <v>7</v>
      </c>
      <c r="C108" s="49">
        <f t="shared" si="23"/>
        <v>8.032773716764399E-5</v>
      </c>
      <c r="D108" s="39">
        <v>3</v>
      </c>
      <c r="E108" s="49">
        <f t="shared" si="24"/>
        <v>4.3507518099127533E-6</v>
      </c>
      <c r="F108" s="39">
        <v>0</v>
      </c>
      <c r="G108" s="49">
        <f t="shared" si="25"/>
        <v>0</v>
      </c>
      <c r="H108" s="42">
        <f t="shared" si="26"/>
        <v>10</v>
      </c>
      <c r="I108" s="50">
        <f t="shared" si="27"/>
        <v>1.2797870434359723E-5</v>
      </c>
    </row>
    <row r="109" spans="1:9" x14ac:dyDescent="0.2">
      <c r="A109" s="38" t="s">
        <v>48</v>
      </c>
      <c r="B109" s="39">
        <v>0</v>
      </c>
      <c r="C109" s="49">
        <f t="shared" si="23"/>
        <v>0</v>
      </c>
      <c r="D109" s="39">
        <v>0</v>
      </c>
      <c r="E109" s="49">
        <f t="shared" si="24"/>
        <v>0</v>
      </c>
      <c r="F109" s="39">
        <v>0</v>
      </c>
      <c r="G109" s="49">
        <f t="shared" si="25"/>
        <v>0</v>
      </c>
      <c r="H109" s="42">
        <f t="shared" si="26"/>
        <v>0</v>
      </c>
      <c r="I109" s="50">
        <f t="shared" si="27"/>
        <v>0</v>
      </c>
    </row>
    <row r="110" spans="1:9" x14ac:dyDescent="0.2">
      <c r="A110" s="38" t="s">
        <v>49</v>
      </c>
      <c r="B110" s="39">
        <v>9</v>
      </c>
      <c r="C110" s="49">
        <f t="shared" si="23"/>
        <v>1.0327851921554227E-4</v>
      </c>
      <c r="D110" s="39">
        <v>10</v>
      </c>
      <c r="E110" s="49">
        <f t="shared" si="24"/>
        <v>1.450250603304251E-5</v>
      </c>
      <c r="F110" s="39">
        <v>0</v>
      </c>
      <c r="G110" s="49">
        <f t="shared" si="25"/>
        <v>0</v>
      </c>
      <c r="H110" s="42">
        <f t="shared" si="26"/>
        <v>19</v>
      </c>
      <c r="I110" s="50">
        <f t="shared" si="27"/>
        <v>2.4315953825283473E-5</v>
      </c>
    </row>
    <row r="111" spans="1:9" x14ac:dyDescent="0.2">
      <c r="A111" s="38" t="s">
        <v>50</v>
      </c>
      <c r="B111" s="39">
        <v>8</v>
      </c>
      <c r="C111" s="49">
        <f t="shared" si="23"/>
        <v>9.1803128191593125E-5</v>
      </c>
      <c r="D111" s="39">
        <v>28</v>
      </c>
      <c r="E111" s="49">
        <f t="shared" si="24"/>
        <v>4.0607016892519026E-5</v>
      </c>
      <c r="F111" s="39">
        <v>0</v>
      </c>
      <c r="G111" s="49">
        <f t="shared" si="25"/>
        <v>0</v>
      </c>
      <c r="H111" s="42">
        <f t="shared" si="26"/>
        <v>36</v>
      </c>
      <c r="I111" s="50">
        <f t="shared" si="27"/>
        <v>4.6072333563694998E-5</v>
      </c>
    </row>
    <row r="112" spans="1:9" x14ac:dyDescent="0.2">
      <c r="A112" s="38" t="s">
        <v>51</v>
      </c>
      <c r="B112" s="39">
        <v>10</v>
      </c>
      <c r="C112" s="49">
        <f t="shared" si="23"/>
        <v>1.1475391023949141E-4</v>
      </c>
      <c r="D112" s="39">
        <v>8</v>
      </c>
      <c r="E112" s="49">
        <f t="shared" si="24"/>
        <v>1.1602004826434008E-5</v>
      </c>
      <c r="F112" s="39">
        <v>0</v>
      </c>
      <c r="G112" s="49">
        <f t="shared" si="25"/>
        <v>0</v>
      </c>
      <c r="H112" s="42">
        <f t="shared" si="26"/>
        <v>18</v>
      </c>
      <c r="I112" s="50">
        <f t="shared" si="27"/>
        <v>2.3036166781847499E-5</v>
      </c>
    </row>
    <row r="113" spans="1:9" x14ac:dyDescent="0.2">
      <c r="A113" s="44" t="s">
        <v>18</v>
      </c>
      <c r="B113" s="42">
        <f>SUM(B97:B112)</f>
        <v>87143</v>
      </c>
      <c r="C113" s="50">
        <f t="shared" si="23"/>
        <v>1</v>
      </c>
      <c r="D113" s="42">
        <f t="shared" ref="D113" si="28">SUM(D97:D112)</f>
        <v>689536</v>
      </c>
      <c r="E113" s="50">
        <f t="shared" si="24"/>
        <v>1</v>
      </c>
      <c r="F113" s="42">
        <f t="shared" ref="F113" si="29">SUM(F97:F112)</f>
        <v>4701</v>
      </c>
      <c r="G113" s="50">
        <f t="shared" si="25"/>
        <v>1</v>
      </c>
      <c r="H113" s="42">
        <f t="shared" ref="H113" si="30">SUM(H97:H112)</f>
        <v>781380</v>
      </c>
      <c r="I113" s="50">
        <f t="shared" si="27"/>
        <v>1</v>
      </c>
    </row>
  </sheetData>
  <mergeCells count="20">
    <mergeCell ref="B95:C95"/>
    <mergeCell ref="D95:E95"/>
    <mergeCell ref="F95:G95"/>
    <mergeCell ref="H95:I95"/>
    <mergeCell ref="B26:C26"/>
    <mergeCell ref="D26:E26"/>
    <mergeCell ref="F26:G26"/>
    <mergeCell ref="H26:I26"/>
    <mergeCell ref="B49:C49"/>
    <mergeCell ref="D49:E49"/>
    <mergeCell ref="F49:G49"/>
    <mergeCell ref="H49:I49"/>
    <mergeCell ref="B72:C72"/>
    <mergeCell ref="D72:E72"/>
    <mergeCell ref="F72:G72"/>
    <mergeCell ref="H72:I72"/>
    <mergeCell ref="B3:C3"/>
    <mergeCell ref="D3:E3"/>
    <mergeCell ref="F3:G3"/>
    <mergeCell ref="H3:I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"/>
  <sheetViews>
    <sheetView workbookViewId="0">
      <selection activeCell="O30" sqref="O30"/>
    </sheetView>
  </sheetViews>
  <sheetFormatPr defaultRowHeight="12.75" x14ac:dyDescent="0.2"/>
  <cols>
    <col min="1" max="1" width="23.28515625" style="37" customWidth="1"/>
    <col min="2" max="9" width="9.5703125" style="37" customWidth="1"/>
    <col min="10" max="16384" width="9.140625" style="37"/>
  </cols>
  <sheetData>
    <row r="1" spans="1:9" x14ac:dyDescent="0.2">
      <c r="A1" s="36" t="s">
        <v>71</v>
      </c>
    </row>
    <row r="3" spans="1:9" x14ac:dyDescent="0.2">
      <c r="A3" s="52" t="s">
        <v>65</v>
      </c>
      <c r="B3" s="89" t="s">
        <v>0</v>
      </c>
      <c r="C3" s="89"/>
      <c r="D3" s="89" t="s">
        <v>30</v>
      </c>
      <c r="E3" s="89"/>
      <c r="F3" s="89" t="s">
        <v>31</v>
      </c>
      <c r="G3" s="89"/>
      <c r="H3" s="87" t="s">
        <v>18</v>
      </c>
      <c r="I3" s="87"/>
    </row>
    <row r="4" spans="1:9" x14ac:dyDescent="0.2">
      <c r="A4" s="52" t="s">
        <v>66</v>
      </c>
      <c r="B4" s="52" t="s">
        <v>67</v>
      </c>
      <c r="C4" s="52" t="s">
        <v>68</v>
      </c>
      <c r="D4" s="52" t="s">
        <v>67</v>
      </c>
      <c r="E4" s="52" t="s">
        <v>68</v>
      </c>
      <c r="F4" s="52" t="s">
        <v>67</v>
      </c>
      <c r="G4" s="52" t="s">
        <v>68</v>
      </c>
      <c r="H4" s="51" t="s">
        <v>67</v>
      </c>
      <c r="I4" s="51" t="s">
        <v>68</v>
      </c>
    </row>
    <row r="5" spans="1:9" x14ac:dyDescent="0.2">
      <c r="A5" s="38" t="s">
        <v>36</v>
      </c>
      <c r="B5" s="39">
        <v>3293</v>
      </c>
      <c r="C5" s="49">
        <f>B5/87143</f>
        <v>3.7788462641864522E-2</v>
      </c>
      <c r="D5" s="39">
        <v>248926</v>
      </c>
      <c r="E5" s="49">
        <f>D5/689536</f>
        <v>0.36100508167811396</v>
      </c>
      <c r="F5" s="39">
        <v>28</v>
      </c>
      <c r="G5" s="49">
        <f>F5/4701</f>
        <v>5.9561795362688789E-3</v>
      </c>
      <c r="H5" s="42">
        <f>B5+D5+F5</f>
        <v>252247</v>
      </c>
      <c r="I5" s="50">
        <f>H5/781380</f>
        <v>0.32282244234559371</v>
      </c>
    </row>
    <row r="6" spans="1:9" x14ac:dyDescent="0.2">
      <c r="A6" s="38" t="s">
        <v>37</v>
      </c>
      <c r="B6" s="39">
        <v>82098</v>
      </c>
      <c r="C6" s="49">
        <f t="shared" ref="C6:C20" si="0">B6/87143</f>
        <v>0.94210665228417656</v>
      </c>
      <c r="D6" s="39">
        <v>387995</v>
      </c>
      <c r="E6" s="49">
        <f t="shared" ref="E6:E20" si="1">D6/689536</f>
        <v>0.56268998282903282</v>
      </c>
      <c r="F6" s="39">
        <v>4663</v>
      </c>
      <c r="G6" s="49">
        <f t="shared" ref="G6:G20" si="2">F6/4701</f>
        <v>0.99191661348649218</v>
      </c>
      <c r="H6" s="42">
        <f t="shared" ref="H6:H20" si="3">B6+D6+F6</f>
        <v>474756</v>
      </c>
      <c r="I6" s="50">
        <f t="shared" ref="I6:I20" si="4">H6/781380</f>
        <v>0.60758657759348844</v>
      </c>
    </row>
    <row r="7" spans="1:9" x14ac:dyDescent="0.2">
      <c r="A7" s="38" t="s">
        <v>38</v>
      </c>
      <c r="B7" s="39">
        <v>18</v>
      </c>
      <c r="C7" s="49">
        <f t="shared" si="0"/>
        <v>2.0655703843108455E-4</v>
      </c>
      <c r="D7" s="39">
        <v>10</v>
      </c>
      <c r="E7" s="49">
        <f t="shared" si="1"/>
        <v>1.450250603304251E-5</v>
      </c>
      <c r="F7" s="39">
        <v>0</v>
      </c>
      <c r="G7" s="49">
        <f t="shared" si="2"/>
        <v>0</v>
      </c>
      <c r="H7" s="42">
        <f t="shared" si="3"/>
        <v>28</v>
      </c>
      <c r="I7" s="50">
        <f t="shared" si="4"/>
        <v>3.5834037216207224E-5</v>
      </c>
    </row>
    <row r="8" spans="1:9" x14ac:dyDescent="0.2">
      <c r="A8" s="38" t="s">
        <v>39</v>
      </c>
      <c r="B8" s="39">
        <v>0</v>
      </c>
      <c r="C8" s="49">
        <f t="shared" si="0"/>
        <v>0</v>
      </c>
      <c r="D8" s="39">
        <v>56</v>
      </c>
      <c r="E8" s="49">
        <f t="shared" si="1"/>
        <v>8.1214033785038053E-5</v>
      </c>
      <c r="F8" s="39">
        <v>0</v>
      </c>
      <c r="G8" s="49">
        <f t="shared" si="2"/>
        <v>0</v>
      </c>
      <c r="H8" s="42">
        <f t="shared" si="3"/>
        <v>56</v>
      </c>
      <c r="I8" s="50">
        <f t="shared" si="4"/>
        <v>7.1668074432414448E-5</v>
      </c>
    </row>
    <row r="9" spans="1:9" x14ac:dyDescent="0.2">
      <c r="A9" s="38" t="s">
        <v>40</v>
      </c>
      <c r="B9" s="39">
        <v>0</v>
      </c>
      <c r="C9" s="49">
        <f t="shared" si="0"/>
        <v>0</v>
      </c>
      <c r="D9" s="39">
        <v>1</v>
      </c>
      <c r="E9" s="49">
        <f t="shared" si="1"/>
        <v>1.450250603304251E-6</v>
      </c>
      <c r="F9" s="39">
        <v>0</v>
      </c>
      <c r="G9" s="49">
        <f t="shared" si="2"/>
        <v>0</v>
      </c>
      <c r="H9" s="42">
        <f t="shared" si="3"/>
        <v>1</v>
      </c>
      <c r="I9" s="50">
        <f t="shared" si="4"/>
        <v>1.2797870434359722E-6</v>
      </c>
    </row>
    <row r="10" spans="1:9" x14ac:dyDescent="0.2">
      <c r="A10" s="38" t="s">
        <v>41</v>
      </c>
      <c r="B10" s="39">
        <v>13</v>
      </c>
      <c r="C10" s="49">
        <f t="shared" si="0"/>
        <v>1.4918008331133884E-4</v>
      </c>
      <c r="D10" s="39">
        <v>312</v>
      </c>
      <c r="E10" s="49">
        <f t="shared" si="1"/>
        <v>4.5247818823092632E-4</v>
      </c>
      <c r="F10" s="39">
        <v>1</v>
      </c>
      <c r="G10" s="49">
        <f t="shared" si="2"/>
        <v>2.1272069772388852E-4</v>
      </c>
      <c r="H10" s="42">
        <f t="shared" si="3"/>
        <v>326</v>
      </c>
      <c r="I10" s="50">
        <f t="shared" si="4"/>
        <v>4.1721057616012693E-4</v>
      </c>
    </row>
    <row r="11" spans="1:9" x14ac:dyDescent="0.2">
      <c r="A11" s="38" t="s">
        <v>42</v>
      </c>
      <c r="B11" s="39">
        <v>0</v>
      </c>
      <c r="C11" s="49">
        <f t="shared" si="0"/>
        <v>0</v>
      </c>
      <c r="D11" s="39">
        <v>0</v>
      </c>
      <c r="E11" s="49">
        <f t="shared" si="1"/>
        <v>0</v>
      </c>
      <c r="F11" s="39">
        <v>0</v>
      </c>
      <c r="G11" s="49">
        <f t="shared" si="2"/>
        <v>0</v>
      </c>
      <c r="H11" s="42">
        <f t="shared" si="3"/>
        <v>0</v>
      </c>
      <c r="I11" s="50">
        <f t="shared" si="4"/>
        <v>0</v>
      </c>
    </row>
    <row r="12" spans="1:9" x14ac:dyDescent="0.2">
      <c r="A12" s="38" t="s">
        <v>43</v>
      </c>
      <c r="B12" s="39">
        <v>1316</v>
      </c>
      <c r="C12" s="49">
        <f t="shared" si="0"/>
        <v>1.5101614587517069E-2</v>
      </c>
      <c r="D12" s="39">
        <v>38949</v>
      </c>
      <c r="E12" s="49">
        <f t="shared" si="1"/>
        <v>5.6485810748097269E-2</v>
      </c>
      <c r="F12" s="39">
        <v>6</v>
      </c>
      <c r="G12" s="49">
        <f t="shared" si="2"/>
        <v>1.2763241863433313E-3</v>
      </c>
      <c r="H12" s="42">
        <f t="shared" si="3"/>
        <v>40271</v>
      </c>
      <c r="I12" s="50">
        <f t="shared" si="4"/>
        <v>5.1538304026210041E-2</v>
      </c>
    </row>
    <row r="13" spans="1:9" x14ac:dyDescent="0.2">
      <c r="A13" s="38" t="s">
        <v>44</v>
      </c>
      <c r="B13" s="39">
        <v>16</v>
      </c>
      <c r="C13" s="49">
        <f t="shared" si="0"/>
        <v>1.8360625638318625E-4</v>
      </c>
      <c r="D13" s="39">
        <v>5</v>
      </c>
      <c r="E13" s="49">
        <f t="shared" si="1"/>
        <v>7.2512530165212549E-6</v>
      </c>
      <c r="F13" s="39">
        <v>3</v>
      </c>
      <c r="G13" s="49">
        <f t="shared" si="2"/>
        <v>6.3816209317166565E-4</v>
      </c>
      <c r="H13" s="42">
        <f t="shared" si="3"/>
        <v>24</v>
      </c>
      <c r="I13" s="50">
        <f t="shared" si="4"/>
        <v>3.0714889042463337E-5</v>
      </c>
    </row>
    <row r="14" spans="1:9" x14ac:dyDescent="0.2">
      <c r="A14" s="38" t="s">
        <v>45</v>
      </c>
      <c r="B14" s="39">
        <v>349</v>
      </c>
      <c r="C14" s="49">
        <f t="shared" si="0"/>
        <v>4.0049114673582501E-3</v>
      </c>
      <c r="D14" s="39">
        <v>13115</v>
      </c>
      <c r="E14" s="49">
        <f t="shared" si="1"/>
        <v>1.9020036662335253E-2</v>
      </c>
      <c r="F14" s="39">
        <v>0</v>
      </c>
      <c r="G14" s="49">
        <f t="shared" si="2"/>
        <v>0</v>
      </c>
      <c r="H14" s="42">
        <f t="shared" si="3"/>
        <v>13464</v>
      </c>
      <c r="I14" s="50">
        <f t="shared" si="4"/>
        <v>1.723105275282193E-2</v>
      </c>
    </row>
    <row r="15" spans="1:9" x14ac:dyDescent="0.2">
      <c r="A15" s="38" t="s">
        <v>46</v>
      </c>
      <c r="B15" s="39">
        <v>6</v>
      </c>
      <c r="C15" s="49">
        <f t="shared" si="0"/>
        <v>6.8852346143694841E-5</v>
      </c>
      <c r="D15" s="39">
        <v>118</v>
      </c>
      <c r="E15" s="49">
        <f t="shared" si="1"/>
        <v>1.7112957118990162E-4</v>
      </c>
      <c r="F15" s="39">
        <v>0</v>
      </c>
      <c r="G15" s="49">
        <f t="shared" si="2"/>
        <v>0</v>
      </c>
      <c r="H15" s="42">
        <f t="shared" si="3"/>
        <v>124</v>
      </c>
      <c r="I15" s="50">
        <f t="shared" si="4"/>
        <v>1.5869359338606056E-4</v>
      </c>
    </row>
    <row r="16" spans="1:9" x14ac:dyDescent="0.2">
      <c r="A16" s="38" t="s">
        <v>47</v>
      </c>
      <c r="B16" s="39">
        <v>7</v>
      </c>
      <c r="C16" s="49">
        <f t="shared" si="0"/>
        <v>8.032773716764399E-5</v>
      </c>
      <c r="D16" s="39">
        <v>3</v>
      </c>
      <c r="E16" s="49">
        <f t="shared" si="1"/>
        <v>4.3507518099127533E-6</v>
      </c>
      <c r="F16" s="39">
        <v>0</v>
      </c>
      <c r="G16" s="49">
        <f t="shared" si="2"/>
        <v>0</v>
      </c>
      <c r="H16" s="42">
        <f t="shared" si="3"/>
        <v>10</v>
      </c>
      <c r="I16" s="50">
        <f t="shared" si="4"/>
        <v>1.2797870434359723E-5</v>
      </c>
    </row>
    <row r="17" spans="1:9" x14ac:dyDescent="0.2">
      <c r="A17" s="38" t="s">
        <v>48</v>
      </c>
      <c r="B17" s="39">
        <v>0</v>
      </c>
      <c r="C17" s="49">
        <f t="shared" si="0"/>
        <v>0</v>
      </c>
      <c r="D17" s="39">
        <v>0</v>
      </c>
      <c r="E17" s="49">
        <f t="shared" si="1"/>
        <v>0</v>
      </c>
      <c r="F17" s="39">
        <v>0</v>
      </c>
      <c r="G17" s="49">
        <f t="shared" si="2"/>
        <v>0</v>
      </c>
      <c r="H17" s="42">
        <f t="shared" si="3"/>
        <v>0</v>
      </c>
      <c r="I17" s="50">
        <f t="shared" si="4"/>
        <v>0</v>
      </c>
    </row>
    <row r="18" spans="1:9" x14ac:dyDescent="0.2">
      <c r="A18" s="38" t="s">
        <v>49</v>
      </c>
      <c r="B18" s="39">
        <v>9</v>
      </c>
      <c r="C18" s="49">
        <f t="shared" si="0"/>
        <v>1.0327851921554227E-4</v>
      </c>
      <c r="D18" s="39">
        <v>10</v>
      </c>
      <c r="E18" s="49">
        <f t="shared" si="1"/>
        <v>1.450250603304251E-5</v>
      </c>
      <c r="F18" s="39">
        <v>0</v>
      </c>
      <c r="G18" s="49">
        <f t="shared" si="2"/>
        <v>0</v>
      </c>
      <c r="H18" s="42">
        <f t="shared" si="3"/>
        <v>19</v>
      </c>
      <c r="I18" s="50">
        <f t="shared" si="4"/>
        <v>2.4315953825283473E-5</v>
      </c>
    </row>
    <row r="19" spans="1:9" x14ac:dyDescent="0.2">
      <c r="A19" s="38" t="s">
        <v>50</v>
      </c>
      <c r="B19" s="39">
        <v>8</v>
      </c>
      <c r="C19" s="49">
        <f t="shared" si="0"/>
        <v>9.1803128191593125E-5</v>
      </c>
      <c r="D19" s="39">
        <v>28</v>
      </c>
      <c r="E19" s="49">
        <f t="shared" si="1"/>
        <v>4.0607016892519026E-5</v>
      </c>
      <c r="F19" s="39">
        <v>0</v>
      </c>
      <c r="G19" s="49">
        <f t="shared" si="2"/>
        <v>0</v>
      </c>
      <c r="H19" s="42">
        <f t="shared" si="3"/>
        <v>36</v>
      </c>
      <c r="I19" s="50">
        <f t="shared" si="4"/>
        <v>4.6072333563694998E-5</v>
      </c>
    </row>
    <row r="20" spans="1:9" x14ac:dyDescent="0.2">
      <c r="A20" s="38" t="s">
        <v>51</v>
      </c>
      <c r="B20" s="39">
        <v>10</v>
      </c>
      <c r="C20" s="49">
        <f t="shared" si="0"/>
        <v>1.1475391023949141E-4</v>
      </c>
      <c r="D20" s="39">
        <v>8</v>
      </c>
      <c r="E20" s="49">
        <f t="shared" si="1"/>
        <v>1.1602004826434008E-5</v>
      </c>
      <c r="F20" s="39">
        <v>0</v>
      </c>
      <c r="G20" s="49">
        <f t="shared" si="2"/>
        <v>0</v>
      </c>
      <c r="H20" s="42">
        <f t="shared" si="3"/>
        <v>18</v>
      </c>
      <c r="I20" s="50">
        <f t="shared" si="4"/>
        <v>2.3036166781847499E-5</v>
      </c>
    </row>
    <row r="21" spans="1:9" x14ac:dyDescent="0.2">
      <c r="A21" s="44" t="s">
        <v>18</v>
      </c>
      <c r="B21" s="42">
        <f>SUM(B5:B20)</f>
        <v>87143</v>
      </c>
      <c r="C21" s="46"/>
      <c r="D21" s="42">
        <f t="shared" ref="D21" si="5">SUM(D5:D20)</f>
        <v>689536</v>
      </c>
      <c r="E21" s="46"/>
      <c r="F21" s="42">
        <f t="shared" ref="F21" si="6">SUM(F5:F20)</f>
        <v>4701</v>
      </c>
      <c r="G21" s="46"/>
      <c r="H21" s="42">
        <f t="shared" ref="H21" si="7">SUM(H5:H20)</f>
        <v>781380</v>
      </c>
    </row>
    <row r="22" spans="1:9" s="54" customFormat="1" x14ac:dyDescent="0.2">
      <c r="A22" s="55"/>
      <c r="B22" s="56"/>
      <c r="C22" s="57"/>
      <c r="D22" s="56"/>
      <c r="E22" s="57"/>
      <c r="F22" s="56"/>
      <c r="G22" s="57"/>
      <c r="H22" s="56"/>
    </row>
    <row r="24" spans="1:9" x14ac:dyDescent="0.2">
      <c r="A24" s="36" t="s">
        <v>70</v>
      </c>
    </row>
    <row r="26" spans="1:9" x14ac:dyDescent="0.2">
      <c r="A26" s="48" t="s">
        <v>65</v>
      </c>
      <c r="B26" s="89" t="s">
        <v>0</v>
      </c>
      <c r="C26" s="89"/>
      <c r="D26" s="89" t="s">
        <v>30</v>
      </c>
      <c r="E26" s="89"/>
      <c r="F26" s="89" t="s">
        <v>31</v>
      </c>
      <c r="G26" s="89"/>
      <c r="H26" s="87" t="s">
        <v>18</v>
      </c>
      <c r="I26" s="87"/>
    </row>
    <row r="27" spans="1:9" x14ac:dyDescent="0.2">
      <c r="A27" s="48" t="s">
        <v>66</v>
      </c>
      <c r="B27" s="48" t="s">
        <v>67</v>
      </c>
      <c r="C27" s="48" t="s">
        <v>68</v>
      </c>
      <c r="D27" s="48" t="s">
        <v>67</v>
      </c>
      <c r="E27" s="48" t="s">
        <v>68</v>
      </c>
      <c r="F27" s="48" t="s">
        <v>67</v>
      </c>
      <c r="G27" s="48" t="s">
        <v>68</v>
      </c>
      <c r="H27" s="47" t="s">
        <v>67</v>
      </c>
      <c r="I27" s="47" t="s">
        <v>68</v>
      </c>
    </row>
    <row r="28" spans="1:9" x14ac:dyDescent="0.2">
      <c r="A28" s="38" t="s">
        <v>36</v>
      </c>
      <c r="B28" s="39">
        <v>3438</v>
      </c>
      <c r="C28" s="49">
        <f>B28/87612</f>
        <v>3.9241199835638951E-2</v>
      </c>
      <c r="D28" s="39">
        <v>253658</v>
      </c>
      <c r="E28" s="49">
        <f>D28/688756</f>
        <v>0.36828426902996125</v>
      </c>
      <c r="F28" s="39">
        <v>31</v>
      </c>
      <c r="G28" s="49">
        <f>F28/4699</f>
        <v>6.5971483294317941E-3</v>
      </c>
      <c r="H28" s="42">
        <f>B28+D28+F28</f>
        <v>257127</v>
      </c>
      <c r="I28" s="50">
        <f>H28/781067</f>
        <v>0.32919967173110631</v>
      </c>
    </row>
    <row r="29" spans="1:9" x14ac:dyDescent="0.2">
      <c r="A29" s="38" t="s">
        <v>37</v>
      </c>
      <c r="B29" s="39">
        <v>82335</v>
      </c>
      <c r="C29" s="49">
        <f t="shared" ref="C29:C43" si="8">B29/87612</f>
        <v>0.93976852485960827</v>
      </c>
      <c r="D29" s="39">
        <v>381822</v>
      </c>
      <c r="E29" s="49">
        <f t="shared" ref="E29:E43" si="9">D29/688756</f>
        <v>0.55436468067065836</v>
      </c>
      <c r="F29" s="39">
        <v>4656</v>
      </c>
      <c r="G29" s="49">
        <f t="shared" ref="G29:G43" si="10">F29/4699</f>
        <v>0.99084911683336885</v>
      </c>
      <c r="H29" s="42">
        <f t="shared" ref="H29:H43" si="11">B29+D29+F29</f>
        <v>468813</v>
      </c>
      <c r="I29" s="50">
        <f t="shared" ref="I29:I43" si="12">H29/781067</f>
        <v>0.60022123582227904</v>
      </c>
    </row>
    <row r="30" spans="1:9" x14ac:dyDescent="0.2">
      <c r="A30" s="38" t="s">
        <v>38</v>
      </c>
      <c r="B30" s="39">
        <v>18</v>
      </c>
      <c r="C30" s="49">
        <f t="shared" si="8"/>
        <v>2.0545130803999452E-4</v>
      </c>
      <c r="D30" s="39">
        <v>11</v>
      </c>
      <c r="E30" s="49">
        <f t="shared" si="9"/>
        <v>1.5970822758712808E-5</v>
      </c>
      <c r="F30" s="39">
        <v>0</v>
      </c>
      <c r="G30" s="49">
        <f t="shared" si="10"/>
        <v>0</v>
      </c>
      <c r="H30" s="42">
        <f t="shared" si="11"/>
        <v>29</v>
      </c>
      <c r="I30" s="50">
        <f t="shared" si="12"/>
        <v>3.712869702599137E-5</v>
      </c>
    </row>
    <row r="31" spans="1:9" x14ac:dyDescent="0.2">
      <c r="A31" s="38" t="s">
        <v>39</v>
      </c>
      <c r="B31" s="39">
        <v>0</v>
      </c>
      <c r="C31" s="49">
        <f t="shared" si="8"/>
        <v>0</v>
      </c>
      <c r="D31" s="39">
        <v>48</v>
      </c>
      <c r="E31" s="49">
        <f t="shared" si="9"/>
        <v>6.9690862947110449E-5</v>
      </c>
      <c r="F31" s="39">
        <v>0</v>
      </c>
      <c r="G31" s="49">
        <f t="shared" si="10"/>
        <v>0</v>
      </c>
      <c r="H31" s="42">
        <f t="shared" si="11"/>
        <v>48</v>
      </c>
      <c r="I31" s="50">
        <f t="shared" si="12"/>
        <v>6.1454395077502951E-5</v>
      </c>
    </row>
    <row r="32" spans="1:9" x14ac:dyDescent="0.2">
      <c r="A32" s="38" t="s">
        <v>40</v>
      </c>
      <c r="B32" s="39">
        <v>0</v>
      </c>
      <c r="C32" s="49">
        <f t="shared" si="8"/>
        <v>0</v>
      </c>
      <c r="D32" s="39">
        <v>1</v>
      </c>
      <c r="E32" s="49">
        <f t="shared" si="9"/>
        <v>1.4518929780648009E-6</v>
      </c>
      <c r="F32" s="39">
        <v>0</v>
      </c>
      <c r="G32" s="49">
        <f t="shared" si="10"/>
        <v>0</v>
      </c>
      <c r="H32" s="42">
        <f t="shared" si="11"/>
        <v>1</v>
      </c>
      <c r="I32" s="50">
        <f t="shared" si="12"/>
        <v>1.2802998974479781E-6</v>
      </c>
    </row>
    <row r="33" spans="1:9" x14ac:dyDescent="0.2">
      <c r="A33" s="38" t="s">
        <v>41</v>
      </c>
      <c r="B33" s="39">
        <v>12</v>
      </c>
      <c r="C33" s="49">
        <f t="shared" si="8"/>
        <v>1.3696753869332968E-4</v>
      </c>
      <c r="D33" s="39">
        <v>295</v>
      </c>
      <c r="E33" s="49">
        <f t="shared" si="9"/>
        <v>4.2830842852911624E-4</v>
      </c>
      <c r="F33" s="39">
        <v>1</v>
      </c>
      <c r="G33" s="49">
        <f t="shared" si="10"/>
        <v>2.1281123643328368E-4</v>
      </c>
      <c r="H33" s="42">
        <f t="shared" si="11"/>
        <v>308</v>
      </c>
      <c r="I33" s="50">
        <f t="shared" si="12"/>
        <v>3.9433236841397728E-4</v>
      </c>
    </row>
    <row r="34" spans="1:9" x14ac:dyDescent="0.2">
      <c r="A34" s="38" t="s">
        <v>42</v>
      </c>
      <c r="B34" s="39">
        <v>0</v>
      </c>
      <c r="C34" s="49">
        <f t="shared" si="8"/>
        <v>0</v>
      </c>
      <c r="D34" s="39">
        <v>0</v>
      </c>
      <c r="E34" s="49">
        <f t="shared" si="9"/>
        <v>0</v>
      </c>
      <c r="F34" s="39">
        <v>0</v>
      </c>
      <c r="G34" s="49">
        <f t="shared" si="10"/>
        <v>0</v>
      </c>
      <c r="H34" s="42">
        <f t="shared" si="11"/>
        <v>0</v>
      </c>
      <c r="I34" s="50">
        <f t="shared" si="12"/>
        <v>0</v>
      </c>
    </row>
    <row r="35" spans="1:9" x14ac:dyDescent="0.2">
      <c r="A35" s="38" t="s">
        <v>43</v>
      </c>
      <c r="B35" s="39">
        <v>1432</v>
      </c>
      <c r="C35" s="49">
        <f t="shared" si="8"/>
        <v>1.6344792950737343E-2</v>
      </c>
      <c r="D35" s="39">
        <v>40901</v>
      </c>
      <c r="E35" s="49">
        <f t="shared" si="9"/>
        <v>5.9383874695828419E-2</v>
      </c>
      <c r="F35" s="39">
        <v>7</v>
      </c>
      <c r="G35" s="49">
        <f t="shared" si="10"/>
        <v>1.4896786550329857E-3</v>
      </c>
      <c r="H35" s="42">
        <f t="shared" si="11"/>
        <v>42340</v>
      </c>
      <c r="I35" s="50">
        <f t="shared" si="12"/>
        <v>5.4207897657947396E-2</v>
      </c>
    </row>
    <row r="36" spans="1:9" x14ac:dyDescent="0.2">
      <c r="A36" s="38" t="s">
        <v>44</v>
      </c>
      <c r="B36" s="39">
        <v>20</v>
      </c>
      <c r="C36" s="49">
        <f t="shared" si="8"/>
        <v>2.2827923115554947E-4</v>
      </c>
      <c r="D36" s="39">
        <v>5</v>
      </c>
      <c r="E36" s="49">
        <f t="shared" si="9"/>
        <v>7.2594648903240045E-6</v>
      </c>
      <c r="F36" s="39">
        <v>3</v>
      </c>
      <c r="G36" s="49">
        <f t="shared" si="10"/>
        <v>6.3843370929985105E-4</v>
      </c>
      <c r="H36" s="42">
        <f t="shared" si="11"/>
        <v>28</v>
      </c>
      <c r="I36" s="50">
        <f t="shared" si="12"/>
        <v>3.5848397128543388E-5</v>
      </c>
    </row>
    <row r="37" spans="1:9" x14ac:dyDescent="0.2">
      <c r="A37" s="38" t="s">
        <v>45</v>
      </c>
      <c r="B37" s="39">
        <v>322</v>
      </c>
      <c r="C37" s="49">
        <f t="shared" si="8"/>
        <v>3.6752956216043464E-3</v>
      </c>
      <c r="D37" s="39">
        <v>11863</v>
      </c>
      <c r="E37" s="49">
        <f t="shared" si="9"/>
        <v>1.7223806398782734E-2</v>
      </c>
      <c r="F37" s="39">
        <v>1</v>
      </c>
      <c r="G37" s="49">
        <f t="shared" si="10"/>
        <v>2.1281123643328368E-4</v>
      </c>
      <c r="H37" s="42">
        <f t="shared" si="11"/>
        <v>12186</v>
      </c>
      <c r="I37" s="50">
        <f t="shared" si="12"/>
        <v>1.5601734550301062E-2</v>
      </c>
    </row>
    <row r="38" spans="1:9" x14ac:dyDescent="0.2">
      <c r="A38" s="38" t="s">
        <v>46</v>
      </c>
      <c r="B38" s="39">
        <v>4</v>
      </c>
      <c r="C38" s="49">
        <f t="shared" si="8"/>
        <v>4.5655846231109894E-5</v>
      </c>
      <c r="D38" s="39">
        <v>105</v>
      </c>
      <c r="E38" s="49">
        <f t="shared" si="9"/>
        <v>1.5244876269680408E-4</v>
      </c>
      <c r="F38" s="39">
        <v>0</v>
      </c>
      <c r="G38" s="49">
        <f t="shared" si="10"/>
        <v>0</v>
      </c>
      <c r="H38" s="42">
        <f t="shared" si="11"/>
        <v>109</v>
      </c>
      <c r="I38" s="50">
        <f t="shared" si="12"/>
        <v>1.3955268882182963E-4</v>
      </c>
    </row>
    <row r="39" spans="1:9" x14ac:dyDescent="0.2">
      <c r="A39" s="38" t="s">
        <v>47</v>
      </c>
      <c r="B39" s="39">
        <v>7</v>
      </c>
      <c r="C39" s="49">
        <f t="shared" si="8"/>
        <v>7.9897730904442314E-5</v>
      </c>
      <c r="D39" s="39">
        <v>2</v>
      </c>
      <c r="E39" s="49">
        <f t="shared" si="9"/>
        <v>2.9037859561296019E-6</v>
      </c>
      <c r="F39" s="39">
        <v>0</v>
      </c>
      <c r="G39" s="49">
        <f t="shared" si="10"/>
        <v>0</v>
      </c>
      <c r="H39" s="42">
        <f t="shared" si="11"/>
        <v>9</v>
      </c>
      <c r="I39" s="50">
        <f t="shared" si="12"/>
        <v>1.1522699077031803E-5</v>
      </c>
    </row>
    <row r="40" spans="1:9" x14ac:dyDescent="0.2">
      <c r="A40" s="38" t="s">
        <v>48</v>
      </c>
      <c r="B40" s="39"/>
      <c r="C40" s="49">
        <f t="shared" si="8"/>
        <v>0</v>
      </c>
      <c r="D40" s="39">
        <v>0</v>
      </c>
      <c r="E40" s="49">
        <f t="shared" si="9"/>
        <v>0</v>
      </c>
      <c r="F40" s="39">
        <v>0</v>
      </c>
      <c r="G40" s="49">
        <f t="shared" si="10"/>
        <v>0</v>
      </c>
      <c r="H40" s="42">
        <f t="shared" si="11"/>
        <v>0</v>
      </c>
      <c r="I40" s="50">
        <f t="shared" si="12"/>
        <v>0</v>
      </c>
    </row>
    <row r="41" spans="1:9" x14ac:dyDescent="0.2">
      <c r="A41" s="38" t="s">
        <v>49</v>
      </c>
      <c r="B41" s="39">
        <v>7</v>
      </c>
      <c r="C41" s="49">
        <f t="shared" si="8"/>
        <v>7.9897730904442314E-5</v>
      </c>
      <c r="D41" s="39">
        <v>12</v>
      </c>
      <c r="E41" s="49">
        <f t="shared" si="9"/>
        <v>1.7422715736777612E-5</v>
      </c>
      <c r="F41" s="39">
        <v>0</v>
      </c>
      <c r="G41" s="49">
        <f t="shared" si="10"/>
        <v>0</v>
      </c>
      <c r="H41" s="42">
        <f t="shared" si="11"/>
        <v>19</v>
      </c>
      <c r="I41" s="50">
        <f t="shared" si="12"/>
        <v>2.4325698051511585E-5</v>
      </c>
    </row>
    <row r="42" spans="1:9" x14ac:dyDescent="0.2">
      <c r="A42" s="38" t="s">
        <v>50</v>
      </c>
      <c r="B42" s="39">
        <v>7</v>
      </c>
      <c r="C42" s="49">
        <f t="shared" si="8"/>
        <v>7.9897730904442314E-5</v>
      </c>
      <c r="D42" s="39">
        <v>26</v>
      </c>
      <c r="E42" s="49">
        <f t="shared" si="9"/>
        <v>3.7749217429684826E-5</v>
      </c>
      <c r="F42" s="39">
        <v>0</v>
      </c>
      <c r="G42" s="49">
        <f t="shared" si="10"/>
        <v>0</v>
      </c>
      <c r="H42" s="42">
        <f t="shared" si="11"/>
        <v>33</v>
      </c>
      <c r="I42" s="50">
        <f t="shared" si="12"/>
        <v>4.2249896615783282E-5</v>
      </c>
    </row>
    <row r="43" spans="1:9" x14ac:dyDescent="0.2">
      <c r="A43" s="38" t="s">
        <v>51</v>
      </c>
      <c r="B43" s="39">
        <v>10</v>
      </c>
      <c r="C43" s="49">
        <f t="shared" si="8"/>
        <v>1.1413961557777473E-4</v>
      </c>
      <c r="D43" s="39">
        <v>7</v>
      </c>
      <c r="E43" s="49">
        <f t="shared" si="9"/>
        <v>1.0163250846453607E-5</v>
      </c>
      <c r="F43" s="39">
        <v>0</v>
      </c>
      <c r="G43" s="49">
        <f t="shared" si="10"/>
        <v>0</v>
      </c>
      <c r="H43" s="42">
        <f t="shared" si="11"/>
        <v>17</v>
      </c>
      <c r="I43" s="50">
        <f t="shared" si="12"/>
        <v>2.1765098256615628E-5</v>
      </c>
    </row>
    <row r="44" spans="1:9" x14ac:dyDescent="0.2">
      <c r="A44" s="44" t="s">
        <v>18</v>
      </c>
      <c r="B44" s="42">
        <f>SUM(B28:B43)</f>
        <v>87612</v>
      </c>
      <c r="C44" s="46"/>
      <c r="D44" s="42">
        <f t="shared" ref="D44" si="13">SUM(D28:D43)</f>
        <v>688756</v>
      </c>
      <c r="E44" s="46"/>
      <c r="F44" s="42">
        <f t="shared" ref="F44" si="14">SUM(F28:F43)</f>
        <v>4699</v>
      </c>
      <c r="G44" s="46"/>
      <c r="H44" s="42">
        <f t="shared" ref="H44" si="15">SUM(H28:H43)</f>
        <v>781067</v>
      </c>
    </row>
    <row r="47" spans="1:9" x14ac:dyDescent="0.2">
      <c r="A47" s="36" t="s">
        <v>69</v>
      </c>
    </row>
    <row r="49" spans="1:9" x14ac:dyDescent="0.2">
      <c r="A49" s="48" t="s">
        <v>65</v>
      </c>
      <c r="B49" s="89" t="s">
        <v>0</v>
      </c>
      <c r="C49" s="89"/>
      <c r="D49" s="89" t="s">
        <v>30</v>
      </c>
      <c r="E49" s="89"/>
      <c r="F49" s="89" t="s">
        <v>31</v>
      </c>
      <c r="G49" s="89"/>
      <c r="H49" s="87" t="s">
        <v>18</v>
      </c>
      <c r="I49" s="87"/>
    </row>
    <row r="50" spans="1:9" x14ac:dyDescent="0.2">
      <c r="A50" s="48" t="s">
        <v>66</v>
      </c>
      <c r="B50" s="48" t="s">
        <v>67</v>
      </c>
      <c r="C50" s="48" t="s">
        <v>68</v>
      </c>
      <c r="D50" s="48" t="s">
        <v>67</v>
      </c>
      <c r="E50" s="48" t="s">
        <v>68</v>
      </c>
      <c r="F50" s="48" t="s">
        <v>67</v>
      </c>
      <c r="G50" s="48" t="s">
        <v>68</v>
      </c>
      <c r="H50" s="47" t="s">
        <v>67</v>
      </c>
      <c r="I50" s="47" t="s">
        <v>68</v>
      </c>
    </row>
    <row r="51" spans="1:9" x14ac:dyDescent="0.2">
      <c r="A51" s="38" t="s">
        <v>36</v>
      </c>
      <c r="B51" s="39">
        <v>3452</v>
      </c>
      <c r="C51" s="49">
        <f>B51/86551</f>
        <v>3.9883999029473954E-2</v>
      </c>
      <c r="D51" s="39">
        <v>255816</v>
      </c>
      <c r="E51" s="49">
        <f>D51/681950</f>
        <v>0.37512427597331183</v>
      </c>
      <c r="F51" s="39">
        <v>31</v>
      </c>
      <c r="G51" s="49">
        <f>F51/4690</f>
        <v>6.609808102345416E-3</v>
      </c>
      <c r="H51" s="42">
        <f>B51+D51+F51</f>
        <v>259299</v>
      </c>
      <c r="I51" s="50">
        <f>H51/773191</f>
        <v>0.3353621550173243</v>
      </c>
    </row>
    <row r="52" spans="1:9" x14ac:dyDescent="0.2">
      <c r="A52" s="38" t="s">
        <v>37</v>
      </c>
      <c r="B52" s="39">
        <v>81257</v>
      </c>
      <c r="C52" s="49">
        <f t="shared" ref="C52:C66" si="16">B52/86551</f>
        <v>0.93883375119871526</v>
      </c>
      <c r="D52" s="39">
        <v>372879</v>
      </c>
      <c r="E52" s="49">
        <f t="shared" ref="E52:E66" si="17">D52/681950</f>
        <v>0.5467834885255517</v>
      </c>
      <c r="F52" s="39">
        <v>4645</v>
      </c>
      <c r="G52" s="49">
        <f t="shared" ref="G52:G66" si="18">F52/4690</f>
        <v>0.99040511727078895</v>
      </c>
      <c r="H52" s="42">
        <f t="shared" ref="H52:H66" si="19">B52+D52+F52</f>
        <v>458781</v>
      </c>
      <c r="I52" s="50">
        <f t="shared" ref="I52:I66" si="20">H52/773191</f>
        <v>0.59336050212690006</v>
      </c>
    </row>
    <row r="53" spans="1:9" x14ac:dyDescent="0.2">
      <c r="A53" s="38" t="s">
        <v>38</v>
      </c>
      <c r="B53" s="39">
        <v>19</v>
      </c>
      <c r="C53" s="49">
        <f t="shared" si="16"/>
        <v>2.1952374900347771E-4</v>
      </c>
      <c r="D53" s="39">
        <v>11</v>
      </c>
      <c r="E53" s="49">
        <f t="shared" si="17"/>
        <v>1.6130214825133807E-5</v>
      </c>
      <c r="F53" s="39">
        <v>0</v>
      </c>
      <c r="G53" s="49">
        <f t="shared" si="18"/>
        <v>0</v>
      </c>
      <c r="H53" s="42">
        <f t="shared" si="19"/>
        <v>30</v>
      </c>
      <c r="I53" s="50">
        <f t="shared" si="20"/>
        <v>3.8800244700209912E-5</v>
      </c>
    </row>
    <row r="54" spans="1:9" x14ac:dyDescent="0.2">
      <c r="A54" s="38" t="s">
        <v>39</v>
      </c>
      <c r="B54" s="39">
        <v>0</v>
      </c>
      <c r="C54" s="49">
        <f t="shared" si="16"/>
        <v>0</v>
      </c>
      <c r="D54" s="39">
        <v>43</v>
      </c>
      <c r="E54" s="49">
        <f t="shared" si="17"/>
        <v>6.3054476134613978E-5</v>
      </c>
      <c r="F54" s="39">
        <v>0</v>
      </c>
      <c r="G54" s="49">
        <f t="shared" si="18"/>
        <v>0</v>
      </c>
      <c r="H54" s="42">
        <f t="shared" si="19"/>
        <v>43</v>
      </c>
      <c r="I54" s="50">
        <f t="shared" si="20"/>
        <v>5.561368407030087E-5</v>
      </c>
    </row>
    <row r="55" spans="1:9" x14ac:dyDescent="0.2">
      <c r="A55" s="38" t="s">
        <v>40</v>
      </c>
      <c r="B55" s="39">
        <v>0</v>
      </c>
      <c r="C55" s="49">
        <f t="shared" si="16"/>
        <v>0</v>
      </c>
      <c r="D55" s="39">
        <v>1</v>
      </c>
      <c r="E55" s="49">
        <f t="shared" si="17"/>
        <v>1.4663831659212551E-6</v>
      </c>
      <c r="F55" s="39">
        <v>0</v>
      </c>
      <c r="G55" s="49">
        <f t="shared" si="18"/>
        <v>0</v>
      </c>
      <c r="H55" s="42">
        <f t="shared" si="19"/>
        <v>1</v>
      </c>
      <c r="I55" s="50">
        <f t="shared" si="20"/>
        <v>1.293341490006997E-6</v>
      </c>
    </row>
    <row r="56" spans="1:9" x14ac:dyDescent="0.2">
      <c r="A56" s="38" t="s">
        <v>41</v>
      </c>
      <c r="B56" s="39">
        <v>12</v>
      </c>
      <c r="C56" s="49">
        <f t="shared" si="16"/>
        <v>1.3864657831798592E-4</v>
      </c>
      <c r="D56" s="39">
        <v>280</v>
      </c>
      <c r="E56" s="49">
        <f t="shared" si="17"/>
        <v>4.1058728645795145E-4</v>
      </c>
      <c r="F56" s="39">
        <v>2</v>
      </c>
      <c r="G56" s="49">
        <f t="shared" si="18"/>
        <v>4.2643923240938164E-4</v>
      </c>
      <c r="H56" s="42">
        <f t="shared" si="19"/>
        <v>294</v>
      </c>
      <c r="I56" s="50">
        <f t="shared" si="20"/>
        <v>3.8024239806205709E-4</v>
      </c>
    </row>
    <row r="57" spans="1:9" x14ac:dyDescent="0.2">
      <c r="A57" s="38" t="s">
        <v>42</v>
      </c>
      <c r="B57" s="39">
        <v>0</v>
      </c>
      <c r="C57" s="49">
        <f t="shared" si="16"/>
        <v>0</v>
      </c>
      <c r="D57" s="39">
        <v>0</v>
      </c>
      <c r="E57" s="49">
        <f t="shared" si="17"/>
        <v>0</v>
      </c>
      <c r="F57" s="39">
        <v>0</v>
      </c>
      <c r="G57" s="49">
        <f t="shared" si="18"/>
        <v>0</v>
      </c>
      <c r="H57" s="42">
        <f t="shared" si="19"/>
        <v>0</v>
      </c>
      <c r="I57" s="50">
        <f t="shared" si="20"/>
        <v>0</v>
      </c>
    </row>
    <row r="58" spans="1:9" x14ac:dyDescent="0.2">
      <c r="A58" s="38" t="s">
        <v>43</v>
      </c>
      <c r="B58" s="39">
        <v>1478</v>
      </c>
      <c r="C58" s="49">
        <f t="shared" si="16"/>
        <v>1.7076636896165266E-2</v>
      </c>
      <c r="D58" s="39">
        <v>42378</v>
      </c>
      <c r="E58" s="49">
        <f t="shared" si="17"/>
        <v>6.2142385805410955E-2</v>
      </c>
      <c r="F58" s="39">
        <v>8</v>
      </c>
      <c r="G58" s="49">
        <f t="shared" si="18"/>
        <v>1.7057569296375266E-3</v>
      </c>
      <c r="H58" s="42">
        <f t="shared" si="19"/>
        <v>43864</v>
      </c>
      <c r="I58" s="50">
        <f t="shared" si="20"/>
        <v>5.6731131117666915E-2</v>
      </c>
    </row>
    <row r="59" spans="1:9" x14ac:dyDescent="0.2">
      <c r="A59" s="38" t="s">
        <v>44</v>
      </c>
      <c r="B59" s="39">
        <v>21</v>
      </c>
      <c r="C59" s="49">
        <f t="shared" si="16"/>
        <v>2.4263151205647536E-4</v>
      </c>
      <c r="D59" s="39">
        <v>5</v>
      </c>
      <c r="E59" s="49">
        <f t="shared" si="17"/>
        <v>7.3319158296062763E-6</v>
      </c>
      <c r="F59" s="39">
        <v>3</v>
      </c>
      <c r="G59" s="49">
        <f t="shared" si="18"/>
        <v>6.3965884861407255E-4</v>
      </c>
      <c r="H59" s="42">
        <f t="shared" si="19"/>
        <v>29</v>
      </c>
      <c r="I59" s="50">
        <f t="shared" si="20"/>
        <v>3.7506903210202915E-5</v>
      </c>
    </row>
    <row r="60" spans="1:9" x14ac:dyDescent="0.2">
      <c r="A60" s="38" t="s">
        <v>45</v>
      </c>
      <c r="B60" s="39">
        <v>283</v>
      </c>
      <c r="C60" s="49">
        <f t="shared" si="16"/>
        <v>3.2697484719991683E-3</v>
      </c>
      <c r="D60" s="39">
        <v>10402</v>
      </c>
      <c r="E60" s="49">
        <f t="shared" si="17"/>
        <v>1.5253317691912897E-2</v>
      </c>
      <c r="F60" s="39">
        <v>1</v>
      </c>
      <c r="G60" s="49">
        <f t="shared" si="18"/>
        <v>2.1321961620469082E-4</v>
      </c>
      <c r="H60" s="42">
        <f t="shared" si="19"/>
        <v>10686</v>
      </c>
      <c r="I60" s="50">
        <f t="shared" si="20"/>
        <v>1.382064716221477E-2</v>
      </c>
    </row>
    <row r="61" spans="1:9" x14ac:dyDescent="0.2">
      <c r="A61" s="38" t="s">
        <v>46</v>
      </c>
      <c r="B61" s="39">
        <v>2</v>
      </c>
      <c r="C61" s="49">
        <f t="shared" si="16"/>
        <v>2.3107763052997653E-5</v>
      </c>
      <c r="D61" s="39">
        <v>95</v>
      </c>
      <c r="E61" s="49">
        <f t="shared" si="17"/>
        <v>1.3930640076251924E-4</v>
      </c>
      <c r="F61" s="39">
        <v>0</v>
      </c>
      <c r="G61" s="49">
        <f t="shared" si="18"/>
        <v>0</v>
      </c>
      <c r="H61" s="42">
        <f t="shared" si="19"/>
        <v>97</v>
      </c>
      <c r="I61" s="50">
        <f t="shared" si="20"/>
        <v>1.2545412453067871E-4</v>
      </c>
    </row>
    <row r="62" spans="1:9" x14ac:dyDescent="0.2">
      <c r="A62" s="38" t="s">
        <v>47</v>
      </c>
      <c r="B62" s="39">
        <v>7</v>
      </c>
      <c r="C62" s="49">
        <f t="shared" si="16"/>
        <v>8.0877170685491787E-5</v>
      </c>
      <c r="D62" s="39">
        <v>2</v>
      </c>
      <c r="E62" s="49">
        <f t="shared" si="17"/>
        <v>2.9327663318425103E-6</v>
      </c>
      <c r="F62" s="39">
        <v>0</v>
      </c>
      <c r="G62" s="49">
        <f t="shared" si="18"/>
        <v>0</v>
      </c>
      <c r="H62" s="42">
        <f t="shared" si="19"/>
        <v>9</v>
      </c>
      <c r="I62" s="50">
        <f t="shared" si="20"/>
        <v>1.1640073410062973E-5</v>
      </c>
    </row>
    <row r="63" spans="1:9" x14ac:dyDescent="0.2">
      <c r="A63" s="38" t="s">
        <v>48</v>
      </c>
      <c r="B63" s="39">
        <v>0</v>
      </c>
      <c r="C63" s="49">
        <f t="shared" si="16"/>
        <v>0</v>
      </c>
      <c r="D63" s="39">
        <v>0</v>
      </c>
      <c r="E63" s="49">
        <f t="shared" si="17"/>
        <v>0</v>
      </c>
      <c r="F63" s="39">
        <v>0</v>
      </c>
      <c r="G63" s="49">
        <f t="shared" si="18"/>
        <v>0</v>
      </c>
      <c r="H63" s="42">
        <f t="shared" si="19"/>
        <v>0</v>
      </c>
      <c r="I63" s="50">
        <f t="shared" si="20"/>
        <v>0</v>
      </c>
    </row>
    <row r="64" spans="1:9" x14ac:dyDescent="0.2">
      <c r="A64" s="38" t="s">
        <v>49</v>
      </c>
      <c r="B64" s="39">
        <v>5</v>
      </c>
      <c r="C64" s="49">
        <f t="shared" si="16"/>
        <v>5.7769407632494134E-5</v>
      </c>
      <c r="D64" s="39">
        <v>11</v>
      </c>
      <c r="E64" s="49">
        <f t="shared" si="17"/>
        <v>1.6130214825133807E-5</v>
      </c>
      <c r="F64" s="39">
        <v>0</v>
      </c>
      <c r="G64" s="49">
        <f t="shared" si="18"/>
        <v>0</v>
      </c>
      <c r="H64" s="42">
        <f t="shared" si="19"/>
        <v>16</v>
      </c>
      <c r="I64" s="50">
        <f t="shared" si="20"/>
        <v>2.0693463840111953E-5</v>
      </c>
    </row>
    <row r="65" spans="1:9" x14ac:dyDescent="0.2">
      <c r="A65" s="38" t="s">
        <v>50</v>
      </c>
      <c r="B65" s="39">
        <v>6</v>
      </c>
      <c r="C65" s="49">
        <f t="shared" si="16"/>
        <v>6.932328915899296E-5</v>
      </c>
      <c r="D65" s="39">
        <v>24</v>
      </c>
      <c r="E65" s="49">
        <f t="shared" si="17"/>
        <v>3.5193195982110125E-5</v>
      </c>
      <c r="F65" s="39">
        <v>0</v>
      </c>
      <c r="G65" s="49">
        <f t="shared" si="18"/>
        <v>0</v>
      </c>
      <c r="H65" s="42">
        <f t="shared" si="19"/>
        <v>30</v>
      </c>
      <c r="I65" s="50">
        <f t="shared" si="20"/>
        <v>3.8800244700209912E-5</v>
      </c>
    </row>
    <row r="66" spans="1:9" x14ac:dyDescent="0.2">
      <c r="A66" s="38" t="s">
        <v>51</v>
      </c>
      <c r="B66" s="39">
        <v>9</v>
      </c>
      <c r="C66" s="49">
        <f t="shared" si="16"/>
        <v>1.0398493373848944E-4</v>
      </c>
      <c r="D66" s="39">
        <v>3</v>
      </c>
      <c r="E66" s="49">
        <f t="shared" si="17"/>
        <v>4.3991494977637656E-6</v>
      </c>
      <c r="F66" s="39">
        <v>0</v>
      </c>
      <c r="G66" s="49">
        <f t="shared" si="18"/>
        <v>0</v>
      </c>
      <c r="H66" s="42">
        <f t="shared" si="19"/>
        <v>12</v>
      </c>
      <c r="I66" s="50">
        <f t="shared" si="20"/>
        <v>1.5520097880083965E-5</v>
      </c>
    </row>
    <row r="67" spans="1:9" x14ac:dyDescent="0.2">
      <c r="A67" s="44" t="s">
        <v>18</v>
      </c>
      <c r="B67" s="42">
        <f>SUM(B51:B66)</f>
        <v>86551</v>
      </c>
      <c r="C67" s="46"/>
      <c r="D67" s="42">
        <f t="shared" ref="D67" si="21">SUM(D51:D66)</f>
        <v>681950</v>
      </c>
      <c r="E67" s="46"/>
      <c r="F67" s="42">
        <f t="shared" ref="F67" si="22">SUM(F51:F66)</f>
        <v>4690</v>
      </c>
      <c r="G67" s="46"/>
      <c r="H67" s="42">
        <f t="shared" ref="H67" si="23">SUM(H51:H66)</f>
        <v>773191</v>
      </c>
    </row>
    <row r="70" spans="1:9" x14ac:dyDescent="0.2">
      <c r="A70" s="36" t="s">
        <v>64</v>
      </c>
    </row>
    <row r="72" spans="1:9" x14ac:dyDescent="0.2">
      <c r="A72" s="45" t="s">
        <v>65</v>
      </c>
      <c r="B72" s="86" t="s">
        <v>0</v>
      </c>
      <c r="C72" s="86"/>
      <c r="D72" s="86" t="s">
        <v>30</v>
      </c>
      <c r="E72" s="86"/>
      <c r="F72" s="86" t="s">
        <v>31</v>
      </c>
      <c r="G72" s="86"/>
      <c r="H72" s="87" t="s">
        <v>18</v>
      </c>
      <c r="I72" s="87"/>
    </row>
    <row r="73" spans="1:9" x14ac:dyDescent="0.2">
      <c r="A73" s="45" t="s">
        <v>66</v>
      </c>
      <c r="B73" s="45" t="s">
        <v>67</v>
      </c>
      <c r="C73" s="45" t="s">
        <v>68</v>
      </c>
      <c r="D73" s="45" t="s">
        <v>67</v>
      </c>
      <c r="E73" s="45" t="s">
        <v>68</v>
      </c>
      <c r="F73" s="45" t="s">
        <v>67</v>
      </c>
      <c r="G73" s="45" t="s">
        <v>68</v>
      </c>
      <c r="H73" s="41" t="s">
        <v>67</v>
      </c>
      <c r="I73" s="41" t="s">
        <v>68</v>
      </c>
    </row>
    <row r="74" spans="1:9" x14ac:dyDescent="0.2">
      <c r="A74" s="38" t="s">
        <v>36</v>
      </c>
      <c r="B74" s="39">
        <v>3479</v>
      </c>
      <c r="C74" s="40">
        <f>B74/85196</f>
        <v>4.083525048124325E-2</v>
      </c>
      <c r="D74" s="39">
        <v>256152</v>
      </c>
      <c r="E74" s="40">
        <f>D74/673119</f>
        <v>0.38054489622191617</v>
      </c>
      <c r="F74" s="39">
        <v>27</v>
      </c>
      <c r="G74" s="40">
        <f>F74/4698</f>
        <v>5.7471264367816091E-3</v>
      </c>
      <c r="H74" s="42">
        <f>B74+D74+F74</f>
        <v>259658</v>
      </c>
      <c r="I74" s="43">
        <f>H74/763013</f>
        <v>0.34030612846701169</v>
      </c>
    </row>
    <row r="75" spans="1:9" x14ac:dyDescent="0.2">
      <c r="A75" s="38" t="s">
        <v>37</v>
      </c>
      <c r="B75" s="39">
        <v>79894</v>
      </c>
      <c r="C75" s="40">
        <f t="shared" ref="C75:C89" si="24">B75/85196</f>
        <v>0.93776703131602424</v>
      </c>
      <c r="D75" s="39">
        <v>364071</v>
      </c>
      <c r="E75" s="40">
        <f t="shared" ref="E75:E89" si="25">D75/673119</f>
        <v>0.54087167350795329</v>
      </c>
      <c r="F75" s="39">
        <v>4661</v>
      </c>
      <c r="G75" s="40">
        <f t="shared" ref="G75:G89" si="26">F75/4698</f>
        <v>0.99212430821626219</v>
      </c>
      <c r="H75" s="42">
        <f t="shared" ref="H75:H89" si="27">B75+D75+F75</f>
        <v>448626</v>
      </c>
      <c r="I75" s="43">
        <f t="shared" ref="I75:I89" si="28">H75/763013</f>
        <v>0.58796639113619298</v>
      </c>
    </row>
    <row r="76" spans="1:9" x14ac:dyDescent="0.2">
      <c r="A76" s="38" t="s">
        <v>38</v>
      </c>
      <c r="B76" s="39">
        <v>20</v>
      </c>
      <c r="C76" s="40">
        <f t="shared" si="24"/>
        <v>2.347528052960233E-4</v>
      </c>
      <c r="D76" s="39">
        <v>12</v>
      </c>
      <c r="E76" s="40">
        <f t="shared" si="25"/>
        <v>1.7827456957833606E-5</v>
      </c>
      <c r="F76" s="39">
        <v>0</v>
      </c>
      <c r="G76" s="40">
        <f t="shared" si="26"/>
        <v>0</v>
      </c>
      <c r="H76" s="42">
        <f t="shared" si="27"/>
        <v>32</v>
      </c>
      <c r="I76" s="43">
        <f t="shared" si="28"/>
        <v>4.1938997107519792E-5</v>
      </c>
    </row>
    <row r="77" spans="1:9" x14ac:dyDescent="0.2">
      <c r="A77" s="38" t="s">
        <v>39</v>
      </c>
      <c r="B77" s="39">
        <v>0</v>
      </c>
      <c r="C77" s="40">
        <f t="shared" si="24"/>
        <v>0</v>
      </c>
      <c r="D77" s="39">
        <v>34</v>
      </c>
      <c r="E77" s="40">
        <f t="shared" si="25"/>
        <v>5.051112804719522E-5</v>
      </c>
      <c r="F77" s="39">
        <v>0</v>
      </c>
      <c r="G77" s="40">
        <f t="shared" si="26"/>
        <v>0</v>
      </c>
      <c r="H77" s="42">
        <f t="shared" si="27"/>
        <v>34</v>
      </c>
      <c r="I77" s="43">
        <f t="shared" si="28"/>
        <v>4.4560184426739783E-5</v>
      </c>
    </row>
    <row r="78" spans="1:9" x14ac:dyDescent="0.2">
      <c r="A78" s="38" t="s">
        <v>40</v>
      </c>
      <c r="B78" s="39">
        <v>0</v>
      </c>
      <c r="C78" s="40">
        <f t="shared" si="24"/>
        <v>0</v>
      </c>
      <c r="D78" s="39">
        <v>1</v>
      </c>
      <c r="E78" s="40">
        <f t="shared" si="25"/>
        <v>1.4856214131528006E-6</v>
      </c>
      <c r="F78" s="39">
        <v>0</v>
      </c>
      <c r="G78" s="40">
        <f t="shared" si="26"/>
        <v>0</v>
      </c>
      <c r="H78" s="42">
        <f t="shared" si="27"/>
        <v>1</v>
      </c>
      <c r="I78" s="43">
        <f t="shared" si="28"/>
        <v>1.3105936596099935E-6</v>
      </c>
    </row>
    <row r="79" spans="1:9" x14ac:dyDescent="0.2">
      <c r="A79" s="38" t="s">
        <v>41</v>
      </c>
      <c r="B79" s="39">
        <v>12</v>
      </c>
      <c r="C79" s="40">
        <f t="shared" si="24"/>
        <v>1.4085168317761398E-4</v>
      </c>
      <c r="D79" s="39">
        <v>255</v>
      </c>
      <c r="E79" s="40">
        <f t="shared" si="25"/>
        <v>3.7883346035396417E-4</v>
      </c>
      <c r="F79" s="39">
        <v>0</v>
      </c>
      <c r="G79" s="40">
        <f t="shared" si="26"/>
        <v>0</v>
      </c>
      <c r="H79" s="42">
        <f t="shared" si="27"/>
        <v>267</v>
      </c>
      <c r="I79" s="43">
        <f t="shared" si="28"/>
        <v>3.4992850711586829E-4</v>
      </c>
    </row>
    <row r="80" spans="1:9" x14ac:dyDescent="0.2">
      <c r="A80" s="38" t="s">
        <v>42</v>
      </c>
      <c r="B80" s="39">
        <v>0</v>
      </c>
      <c r="C80" s="40">
        <f t="shared" si="24"/>
        <v>0</v>
      </c>
      <c r="D80" s="39">
        <v>0</v>
      </c>
      <c r="E80" s="40">
        <f t="shared" si="25"/>
        <v>0</v>
      </c>
      <c r="F80" s="39">
        <v>0</v>
      </c>
      <c r="G80" s="40">
        <f t="shared" si="26"/>
        <v>0</v>
      </c>
      <c r="H80" s="42">
        <f t="shared" si="27"/>
        <v>0</v>
      </c>
      <c r="I80" s="43">
        <f t="shared" si="28"/>
        <v>0</v>
      </c>
    </row>
    <row r="81" spans="1:9" x14ac:dyDescent="0.2">
      <c r="A81" s="38" t="s">
        <v>43</v>
      </c>
      <c r="B81" s="39">
        <v>1501</v>
      </c>
      <c r="C81" s="40">
        <f t="shared" si="24"/>
        <v>1.7618198037466549E-2</v>
      </c>
      <c r="D81" s="39">
        <v>43641</v>
      </c>
      <c r="E81" s="40">
        <f t="shared" si="25"/>
        <v>6.4834004091401373E-2</v>
      </c>
      <c r="F81" s="39">
        <v>7</v>
      </c>
      <c r="G81" s="40">
        <f t="shared" si="26"/>
        <v>1.489995742869306E-3</v>
      </c>
      <c r="H81" s="42">
        <f t="shared" si="27"/>
        <v>45149</v>
      </c>
      <c r="I81" s="43">
        <f t="shared" si="28"/>
        <v>5.9171993137731596E-2</v>
      </c>
    </row>
    <row r="82" spans="1:9" x14ac:dyDescent="0.2">
      <c r="A82" s="38" t="s">
        <v>44</v>
      </c>
      <c r="B82" s="39">
        <v>25</v>
      </c>
      <c r="C82" s="40">
        <f t="shared" si="24"/>
        <v>2.9344100662002909E-4</v>
      </c>
      <c r="D82" s="39">
        <v>5</v>
      </c>
      <c r="E82" s="40">
        <f t="shared" si="25"/>
        <v>7.4281070657640032E-6</v>
      </c>
      <c r="F82" s="39">
        <v>3</v>
      </c>
      <c r="G82" s="40">
        <f t="shared" si="26"/>
        <v>6.3856960408684551E-4</v>
      </c>
      <c r="H82" s="42">
        <f t="shared" si="27"/>
        <v>33</v>
      </c>
      <c r="I82" s="43">
        <f t="shared" si="28"/>
        <v>4.3249590767129788E-5</v>
      </c>
    </row>
    <row r="83" spans="1:9" x14ac:dyDescent="0.2">
      <c r="A83" s="38" t="s">
        <v>45</v>
      </c>
      <c r="B83" s="39">
        <v>239</v>
      </c>
      <c r="C83" s="40">
        <f t="shared" si="24"/>
        <v>2.8052960232874784E-3</v>
      </c>
      <c r="D83" s="39">
        <v>8840</v>
      </c>
      <c r="E83" s="40">
        <f t="shared" si="25"/>
        <v>1.3132893292270758E-2</v>
      </c>
      <c r="F83" s="39">
        <v>0</v>
      </c>
      <c r="G83" s="40">
        <f t="shared" si="26"/>
        <v>0</v>
      </c>
      <c r="H83" s="42">
        <f t="shared" si="27"/>
        <v>9079</v>
      </c>
      <c r="I83" s="43">
        <f t="shared" si="28"/>
        <v>1.1898879835599131E-2</v>
      </c>
    </row>
    <row r="84" spans="1:9" x14ac:dyDescent="0.2">
      <c r="A84" s="38" t="s">
        <v>46</v>
      </c>
      <c r="B84" s="39">
        <v>2</v>
      </c>
      <c r="C84" s="40">
        <f t="shared" si="24"/>
        <v>2.347528052960233E-5</v>
      </c>
      <c r="D84" s="39">
        <v>75</v>
      </c>
      <c r="E84" s="40">
        <f t="shared" si="25"/>
        <v>1.1142160598646004E-4</v>
      </c>
      <c r="F84" s="39">
        <v>0</v>
      </c>
      <c r="G84" s="40">
        <f t="shared" si="26"/>
        <v>0</v>
      </c>
      <c r="H84" s="42">
        <f t="shared" si="27"/>
        <v>77</v>
      </c>
      <c r="I84" s="43">
        <f t="shared" si="28"/>
        <v>1.009157117899695E-4</v>
      </c>
    </row>
    <row r="85" spans="1:9" x14ac:dyDescent="0.2">
      <c r="A85" s="38" t="s">
        <v>47</v>
      </c>
      <c r="B85" s="39">
        <v>8</v>
      </c>
      <c r="C85" s="40">
        <f t="shared" si="24"/>
        <v>9.3901122118409319E-5</v>
      </c>
      <c r="D85" s="39">
        <v>1</v>
      </c>
      <c r="E85" s="40">
        <f t="shared" si="25"/>
        <v>1.4856214131528006E-6</v>
      </c>
      <c r="F85" s="39">
        <v>0</v>
      </c>
      <c r="G85" s="40">
        <f t="shared" si="26"/>
        <v>0</v>
      </c>
      <c r="H85" s="42">
        <f t="shared" si="27"/>
        <v>9</v>
      </c>
      <c r="I85" s="43">
        <f t="shared" si="28"/>
        <v>1.1795342936489942E-5</v>
      </c>
    </row>
    <row r="86" spans="1:9" x14ac:dyDescent="0.2">
      <c r="A86" s="38" t="s">
        <v>48</v>
      </c>
      <c r="B86" s="39">
        <v>0</v>
      </c>
      <c r="C86" s="40">
        <f t="shared" si="24"/>
        <v>0</v>
      </c>
      <c r="D86" s="39">
        <v>0</v>
      </c>
      <c r="E86" s="40">
        <f t="shared" si="25"/>
        <v>0</v>
      </c>
      <c r="F86" s="39">
        <v>0</v>
      </c>
      <c r="G86" s="40">
        <f t="shared" si="26"/>
        <v>0</v>
      </c>
      <c r="H86" s="42">
        <f t="shared" si="27"/>
        <v>0</v>
      </c>
      <c r="I86" s="43">
        <f t="shared" si="28"/>
        <v>0</v>
      </c>
    </row>
    <row r="87" spans="1:9" x14ac:dyDescent="0.2">
      <c r="A87" s="38" t="s">
        <v>49</v>
      </c>
      <c r="B87" s="39">
        <v>2</v>
      </c>
      <c r="C87" s="40">
        <f t="shared" si="24"/>
        <v>2.347528052960233E-5</v>
      </c>
      <c r="D87" s="39">
        <v>7</v>
      </c>
      <c r="E87" s="40">
        <f t="shared" si="25"/>
        <v>1.0399349892069604E-5</v>
      </c>
      <c r="F87" s="39">
        <v>0</v>
      </c>
      <c r="G87" s="40">
        <f t="shared" si="26"/>
        <v>0</v>
      </c>
      <c r="H87" s="42">
        <f t="shared" si="27"/>
        <v>9</v>
      </c>
      <c r="I87" s="43">
        <f t="shared" si="28"/>
        <v>1.1795342936489942E-5</v>
      </c>
    </row>
    <row r="88" spans="1:9" x14ac:dyDescent="0.2">
      <c r="A88" s="38" t="s">
        <v>50</v>
      </c>
      <c r="B88" s="39">
        <v>7</v>
      </c>
      <c r="C88" s="40">
        <f t="shared" si="24"/>
        <v>8.2163481853608154E-5</v>
      </c>
      <c r="D88" s="39">
        <v>23</v>
      </c>
      <c r="E88" s="40">
        <f t="shared" si="25"/>
        <v>3.4169292502514415E-5</v>
      </c>
      <c r="F88" s="39">
        <v>0</v>
      </c>
      <c r="G88" s="40">
        <f t="shared" si="26"/>
        <v>0</v>
      </c>
      <c r="H88" s="42">
        <f t="shared" si="27"/>
        <v>30</v>
      </c>
      <c r="I88" s="43">
        <f t="shared" si="28"/>
        <v>3.9317809788299808E-5</v>
      </c>
    </row>
    <row r="89" spans="1:9" x14ac:dyDescent="0.2">
      <c r="A89" s="38" t="s">
        <v>51</v>
      </c>
      <c r="B89" s="39">
        <v>7</v>
      </c>
      <c r="C89" s="40">
        <f t="shared" si="24"/>
        <v>8.2163481853608154E-5</v>
      </c>
      <c r="D89" s="39">
        <v>2</v>
      </c>
      <c r="E89" s="40">
        <f t="shared" si="25"/>
        <v>2.9712428263056012E-6</v>
      </c>
      <c r="F89" s="39">
        <v>0</v>
      </c>
      <c r="G89" s="40">
        <f t="shared" si="26"/>
        <v>0</v>
      </c>
      <c r="H89" s="42">
        <f t="shared" si="27"/>
        <v>9</v>
      </c>
      <c r="I89" s="43">
        <f t="shared" si="28"/>
        <v>1.1795342936489942E-5</v>
      </c>
    </row>
    <row r="90" spans="1:9" x14ac:dyDescent="0.2">
      <c r="A90" s="44" t="s">
        <v>18</v>
      </c>
      <c r="B90" s="42">
        <f>SUM(B74:B89)</f>
        <v>85196</v>
      </c>
      <c r="C90" s="46"/>
      <c r="D90" s="42">
        <f t="shared" ref="D90:H90" si="29">SUM(D74:D89)</f>
        <v>673119</v>
      </c>
      <c r="E90" s="46"/>
      <c r="F90" s="42">
        <f t="shared" si="29"/>
        <v>4698</v>
      </c>
      <c r="G90" s="46"/>
      <c r="H90" s="42">
        <f t="shared" si="29"/>
        <v>763013</v>
      </c>
      <c r="I90" s="43"/>
    </row>
  </sheetData>
  <mergeCells count="16">
    <mergeCell ref="B72:C72"/>
    <mergeCell ref="D72:E72"/>
    <mergeCell ref="F72:G72"/>
    <mergeCell ref="H72:I72"/>
    <mergeCell ref="B3:C3"/>
    <mergeCell ref="D3:E3"/>
    <mergeCell ref="F3:G3"/>
    <mergeCell ref="H3:I3"/>
    <mergeCell ref="B26:C26"/>
    <mergeCell ref="D26:E26"/>
    <mergeCell ref="F26:G26"/>
    <mergeCell ref="H26:I26"/>
    <mergeCell ref="B49:C49"/>
    <mergeCell ref="D49:E49"/>
    <mergeCell ref="F49:G49"/>
    <mergeCell ref="H49:I4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M57"/>
  <sheetViews>
    <sheetView workbookViewId="0">
      <selection activeCell="AH25" sqref="AH25"/>
    </sheetView>
  </sheetViews>
  <sheetFormatPr defaultRowHeight="11.25" x14ac:dyDescent="0.2"/>
  <cols>
    <col min="1" max="1" width="5" style="17" customWidth="1"/>
    <col min="2" max="2" width="20.42578125" style="17" customWidth="1"/>
    <col min="3" max="20" width="6.28515625" style="17" customWidth="1"/>
    <col min="21" max="21" width="2.5703125" style="17" customWidth="1"/>
    <col min="22" max="25" width="5.7109375" style="17" customWidth="1"/>
    <col min="26" max="27" width="9.140625" style="17"/>
    <col min="28" max="28" width="1.7109375" style="17" customWidth="1"/>
    <col min="29" max="29" width="11.28515625" style="17" customWidth="1"/>
    <col min="30" max="30" width="1" style="17" customWidth="1"/>
    <col min="31" max="31" width="5.7109375" style="17" customWidth="1"/>
    <col min="32" max="34" width="9.140625" style="28"/>
    <col min="35" max="35" width="8" style="28" customWidth="1"/>
    <col min="36" max="36" width="9.140625" style="28"/>
    <col min="37" max="37" width="14.28515625" style="28" customWidth="1"/>
    <col min="38" max="38" width="11.28515625" style="28" customWidth="1"/>
    <col min="39" max="39" width="11.42578125" style="28" customWidth="1"/>
    <col min="40" max="16384" width="9.140625" style="17"/>
  </cols>
  <sheetData>
    <row r="1" spans="2:38" ht="12.75" customHeight="1" x14ac:dyDescent="0.2">
      <c r="C1" s="91" t="s">
        <v>52</v>
      </c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19"/>
      <c r="U1" s="19"/>
    </row>
    <row r="2" spans="2:38" ht="9.75" customHeight="1" x14ac:dyDescent="0.2"/>
    <row r="3" spans="2:38" ht="56.25" customHeight="1" x14ac:dyDescent="0.2">
      <c r="B3" s="14"/>
      <c r="C3" s="10" t="s">
        <v>3</v>
      </c>
      <c r="D3" s="23" t="s">
        <v>4</v>
      </c>
      <c r="E3" s="23" t="s">
        <v>6</v>
      </c>
      <c r="F3" s="23" t="s">
        <v>7</v>
      </c>
      <c r="G3" s="10" t="s">
        <v>11</v>
      </c>
      <c r="H3" s="10" t="s">
        <v>12</v>
      </c>
      <c r="I3" s="10" t="s">
        <v>13</v>
      </c>
      <c r="J3" s="23" t="s">
        <v>14</v>
      </c>
      <c r="K3" s="10" t="s">
        <v>15</v>
      </c>
      <c r="L3" s="23" t="s">
        <v>16</v>
      </c>
      <c r="M3" s="23" t="s">
        <v>17</v>
      </c>
      <c r="N3" s="23" t="s">
        <v>19</v>
      </c>
      <c r="O3" s="10" t="s">
        <v>20</v>
      </c>
      <c r="P3" s="10" t="s">
        <v>22</v>
      </c>
      <c r="Q3" s="23" t="s">
        <v>24</v>
      </c>
      <c r="R3" s="3" t="s">
        <v>26</v>
      </c>
      <c r="S3" s="3" t="s">
        <v>27</v>
      </c>
      <c r="T3" s="3" t="s">
        <v>28</v>
      </c>
      <c r="AG3" s="29" t="s">
        <v>56</v>
      </c>
      <c r="AH3" s="29" t="s">
        <v>55</v>
      </c>
      <c r="AK3" s="28" t="s">
        <v>56</v>
      </c>
      <c r="AL3" s="28" t="s">
        <v>56</v>
      </c>
    </row>
    <row r="4" spans="2:38" ht="11.25" customHeight="1" x14ac:dyDescent="0.2">
      <c r="B4" s="15" t="s">
        <v>0</v>
      </c>
      <c r="C4" s="24">
        <v>84942</v>
      </c>
      <c r="D4" s="11">
        <v>90220</v>
      </c>
      <c r="E4" s="11">
        <v>97081</v>
      </c>
      <c r="F4" s="11">
        <v>99708</v>
      </c>
      <c r="G4" s="11">
        <f>SUM(G5:G8)</f>
        <v>102734</v>
      </c>
      <c r="H4" s="11">
        <v>104626</v>
      </c>
      <c r="I4" s="11">
        <f t="shared" ref="I4:N4" si="0">SUM(I5:I8)</f>
        <v>107553</v>
      </c>
      <c r="J4" s="11">
        <f t="shared" si="0"/>
        <v>113113</v>
      </c>
      <c r="K4" s="11">
        <f t="shared" si="0"/>
        <v>121120</v>
      </c>
      <c r="L4" s="11">
        <f t="shared" si="0"/>
        <v>129614</v>
      </c>
      <c r="M4" s="11">
        <f t="shared" si="0"/>
        <v>129805</v>
      </c>
      <c r="N4" s="11">
        <f t="shared" si="0"/>
        <v>120571</v>
      </c>
      <c r="O4" s="11">
        <f t="shared" ref="O4" si="1">SUM(O5:O8)</f>
        <v>71575</v>
      </c>
      <c r="P4" s="11">
        <f>SUM(P5:P10)</f>
        <v>72622</v>
      </c>
      <c r="Q4" s="11">
        <f>SUM(Q5:Q10)</f>
        <v>76303</v>
      </c>
      <c r="R4" s="4">
        <f t="shared" ref="R4:S4" si="2">SUM(R5:R11)</f>
        <v>79899</v>
      </c>
      <c r="S4" s="11">
        <f t="shared" si="2"/>
        <v>83205</v>
      </c>
      <c r="T4" s="11">
        <f t="shared" ref="T4" si="3">SUM(T5:T11)</f>
        <v>85998</v>
      </c>
      <c r="AF4" s="30" t="s">
        <v>18</v>
      </c>
      <c r="AG4" s="31"/>
      <c r="AH4" s="31"/>
      <c r="AJ4" s="32" t="s">
        <v>18</v>
      </c>
      <c r="AK4" s="33">
        <f>AL4/AL4</f>
        <v>1</v>
      </c>
      <c r="AL4" s="32">
        <f>SUM(AL5:AL8)</f>
        <v>953759</v>
      </c>
    </row>
    <row r="5" spans="2:38" ht="11.25" customHeight="1" x14ac:dyDescent="0.2">
      <c r="B5" s="2" t="s">
        <v>8</v>
      </c>
      <c r="C5" s="13">
        <v>53369</v>
      </c>
      <c r="D5" s="12">
        <v>53894</v>
      </c>
      <c r="E5" s="12">
        <v>55539</v>
      </c>
      <c r="F5" s="12">
        <v>53483</v>
      </c>
      <c r="G5" s="12">
        <v>51779</v>
      </c>
      <c r="H5" s="12">
        <v>49041</v>
      </c>
      <c r="I5" s="12">
        <v>46602</v>
      </c>
      <c r="J5" s="12">
        <v>45175</v>
      </c>
      <c r="K5" s="12">
        <v>44138</v>
      </c>
      <c r="L5" s="12">
        <v>43242</v>
      </c>
      <c r="M5" s="12">
        <v>42097</v>
      </c>
      <c r="N5" s="12">
        <v>37868</v>
      </c>
      <c r="O5" s="12">
        <v>7063</v>
      </c>
      <c r="P5" s="12">
        <v>6119</v>
      </c>
      <c r="Q5" s="12">
        <v>5554</v>
      </c>
      <c r="R5" s="5">
        <v>5059</v>
      </c>
      <c r="S5" s="12">
        <v>4633</v>
      </c>
      <c r="T5" s="12">
        <v>4330</v>
      </c>
      <c r="AF5" s="28" t="s">
        <v>53</v>
      </c>
      <c r="AG5" s="31">
        <f>AK5</f>
        <v>0.70911834121617723</v>
      </c>
      <c r="AH5" s="31">
        <f>AK22</f>
        <v>0.34521874252928519</v>
      </c>
      <c r="AJ5" s="28" t="s">
        <v>53</v>
      </c>
      <c r="AK5" s="34">
        <f>AL5/AL4</f>
        <v>0.70911834121617723</v>
      </c>
      <c r="AL5" s="28">
        <f>K29</f>
        <v>676328</v>
      </c>
    </row>
    <row r="6" spans="2:38" ht="11.25" customHeight="1" x14ac:dyDescent="0.2">
      <c r="B6" s="2" t="s">
        <v>9</v>
      </c>
      <c r="C6" s="13">
        <v>31169</v>
      </c>
      <c r="D6" s="12">
        <v>35843</v>
      </c>
      <c r="E6" s="12">
        <v>39978</v>
      </c>
      <c r="F6" s="12">
        <v>44045</v>
      </c>
      <c r="G6" s="12">
        <v>48384</v>
      </c>
      <c r="H6" s="12">
        <v>52637</v>
      </c>
      <c r="I6" s="12">
        <v>57850</v>
      </c>
      <c r="J6" s="12">
        <v>64687</v>
      </c>
      <c r="K6" s="12">
        <v>73631</v>
      </c>
      <c r="L6" s="12">
        <v>83091</v>
      </c>
      <c r="M6" s="12">
        <v>84558</v>
      </c>
      <c r="N6" s="12">
        <v>79799</v>
      </c>
      <c r="O6" s="12">
        <v>62771</v>
      </c>
      <c r="P6" s="12">
        <v>64935</v>
      </c>
      <c r="Q6" s="12">
        <v>68945</v>
      </c>
      <c r="R6" s="5">
        <v>72862</v>
      </c>
      <c r="S6" s="12">
        <v>76470</v>
      </c>
      <c r="T6" s="12">
        <v>79574</v>
      </c>
      <c r="AF6" s="28" t="s">
        <v>54</v>
      </c>
      <c r="AG6" s="31">
        <f>AK6</f>
        <v>0.25872573679514427</v>
      </c>
      <c r="AH6" s="31">
        <f>AK23</f>
        <v>0.58226286291072327</v>
      </c>
      <c r="AJ6" s="28" t="s">
        <v>54</v>
      </c>
      <c r="AK6" s="34">
        <f>AL6/AL4</f>
        <v>0.25872573679514427</v>
      </c>
      <c r="AL6" s="28">
        <f>K30</f>
        <v>246762</v>
      </c>
    </row>
    <row r="7" spans="2:38" ht="11.25" customHeight="1" x14ac:dyDescent="0.2">
      <c r="B7" s="2" t="s">
        <v>10</v>
      </c>
      <c r="C7" s="13">
        <v>404</v>
      </c>
      <c r="D7" s="12">
        <v>410</v>
      </c>
      <c r="E7" s="12">
        <v>315</v>
      </c>
      <c r="F7" s="12">
        <v>275</v>
      </c>
      <c r="G7" s="12">
        <v>251</v>
      </c>
      <c r="H7" s="12">
        <v>181</v>
      </c>
      <c r="I7" s="12">
        <v>173</v>
      </c>
      <c r="J7" s="12">
        <v>172</v>
      </c>
      <c r="K7" s="12">
        <v>168</v>
      </c>
      <c r="L7" s="12">
        <v>165</v>
      </c>
      <c r="M7" s="12">
        <v>164</v>
      </c>
      <c r="N7" s="12">
        <v>162</v>
      </c>
      <c r="O7" s="12">
        <v>17</v>
      </c>
      <c r="P7" s="12">
        <v>15</v>
      </c>
      <c r="Q7" s="12">
        <v>21</v>
      </c>
      <c r="R7" s="5">
        <v>29</v>
      </c>
      <c r="S7" s="12">
        <v>29</v>
      </c>
      <c r="T7" s="12">
        <v>31</v>
      </c>
      <c r="AF7" s="28" t="s">
        <v>57</v>
      </c>
      <c r="AG7" s="31">
        <f>AK7</f>
        <v>3.2155921988678483E-2</v>
      </c>
      <c r="AH7" s="31">
        <f>AK24</f>
        <v>7.2147847106011104E-2</v>
      </c>
      <c r="AJ7" s="28" t="s">
        <v>61</v>
      </c>
      <c r="AK7" s="34">
        <f>AL7/AL4</f>
        <v>3.2155921988678483E-2</v>
      </c>
      <c r="AL7" s="28">
        <f>SUM(K31:K32)</f>
        <v>30669</v>
      </c>
    </row>
    <row r="8" spans="2:38" ht="11.25" customHeight="1" x14ac:dyDescent="0.25">
      <c r="B8" s="2" t="s">
        <v>60</v>
      </c>
      <c r="C8" s="13" t="s">
        <v>5</v>
      </c>
      <c r="D8" s="12">
        <v>73</v>
      </c>
      <c r="E8" s="12">
        <v>1249</v>
      </c>
      <c r="F8" s="12">
        <v>1905</v>
      </c>
      <c r="G8" s="12">
        <v>2320</v>
      </c>
      <c r="H8" s="12">
        <v>2767</v>
      </c>
      <c r="I8" s="12">
        <v>2928</v>
      </c>
      <c r="J8" s="12">
        <v>3079</v>
      </c>
      <c r="K8" s="12">
        <v>3183</v>
      </c>
      <c r="L8" s="12">
        <v>3116</v>
      </c>
      <c r="M8" s="12">
        <v>2986</v>
      </c>
      <c r="N8" s="12">
        <v>2742</v>
      </c>
      <c r="O8" s="12">
        <v>1724</v>
      </c>
      <c r="P8" s="12">
        <v>1551</v>
      </c>
      <c r="Q8" s="12">
        <v>1755</v>
      </c>
      <c r="R8" s="5">
        <v>1910</v>
      </c>
      <c r="S8" s="12">
        <v>2017</v>
      </c>
      <c r="T8" s="12">
        <v>2012</v>
      </c>
      <c r="AF8" s="28" t="s">
        <v>62</v>
      </c>
      <c r="AG8" s="31">
        <f>AK8</f>
        <v>0</v>
      </c>
      <c r="AH8" s="31">
        <f>AK25</f>
        <v>3.7054745398039683E-4</v>
      </c>
      <c r="AJ8" s="28" t="s">
        <v>63</v>
      </c>
      <c r="AK8" s="34">
        <f>AL8/AL4</f>
        <v>0</v>
      </c>
      <c r="AL8" s="28">
        <v>0</v>
      </c>
    </row>
    <row r="9" spans="2:38" ht="11.25" customHeight="1" x14ac:dyDescent="0.2">
      <c r="B9" s="2" t="s">
        <v>25</v>
      </c>
      <c r="C9" s="13" t="s">
        <v>5</v>
      </c>
      <c r="D9" s="13" t="s">
        <v>5</v>
      </c>
      <c r="E9" s="13" t="s">
        <v>5</v>
      </c>
      <c r="F9" s="13" t="s">
        <v>5</v>
      </c>
      <c r="G9" s="13" t="s">
        <v>5</v>
      </c>
      <c r="H9" s="13" t="s">
        <v>5</v>
      </c>
      <c r="I9" s="13" t="s">
        <v>5</v>
      </c>
      <c r="J9" s="13" t="s">
        <v>5</v>
      </c>
      <c r="K9" s="13" t="s">
        <v>5</v>
      </c>
      <c r="L9" s="13" t="s">
        <v>5</v>
      </c>
      <c r="M9" s="13" t="s">
        <v>5</v>
      </c>
      <c r="N9" s="13" t="s">
        <v>5</v>
      </c>
      <c r="O9" s="13" t="s">
        <v>5</v>
      </c>
      <c r="P9" s="13" t="s">
        <v>5</v>
      </c>
      <c r="Q9" s="12">
        <v>26</v>
      </c>
      <c r="R9" s="5">
        <v>37</v>
      </c>
      <c r="S9" s="12">
        <v>50</v>
      </c>
      <c r="T9" s="12">
        <v>44</v>
      </c>
      <c r="AF9" s="32" t="s">
        <v>30</v>
      </c>
      <c r="AG9" s="31"/>
      <c r="AH9" s="31"/>
      <c r="AJ9" s="32" t="s">
        <v>30</v>
      </c>
      <c r="AK9" s="33">
        <f>AL9/AL9</f>
        <v>1</v>
      </c>
      <c r="AL9" s="32">
        <f>SUM(AL10:AL13)</f>
        <v>822011</v>
      </c>
    </row>
    <row r="10" spans="2:38" ht="11.25" customHeight="1" x14ac:dyDescent="0.2">
      <c r="B10" s="2" t="s">
        <v>21</v>
      </c>
      <c r="C10" s="13" t="s">
        <v>5</v>
      </c>
      <c r="D10" s="13" t="s">
        <v>5</v>
      </c>
      <c r="E10" s="13" t="s">
        <v>5</v>
      </c>
      <c r="F10" s="13" t="s">
        <v>5</v>
      </c>
      <c r="G10" s="13" t="s">
        <v>5</v>
      </c>
      <c r="H10" s="13" t="s">
        <v>5</v>
      </c>
      <c r="I10" s="13" t="s">
        <v>5</v>
      </c>
      <c r="J10" s="13" t="s">
        <v>5</v>
      </c>
      <c r="K10" s="13" t="s">
        <v>5</v>
      </c>
      <c r="L10" s="13" t="s">
        <v>5</v>
      </c>
      <c r="M10" s="13" t="s">
        <v>5</v>
      </c>
      <c r="N10" s="13" t="s">
        <v>5</v>
      </c>
      <c r="O10" s="13" t="s">
        <v>5</v>
      </c>
      <c r="P10" s="12">
        <v>2</v>
      </c>
      <c r="Q10" s="12">
        <v>2</v>
      </c>
      <c r="R10" s="6">
        <v>2</v>
      </c>
      <c r="S10" s="12">
        <v>6</v>
      </c>
      <c r="T10" s="12">
        <v>7</v>
      </c>
      <c r="AF10" s="28" t="s">
        <v>53</v>
      </c>
      <c r="AG10" s="31">
        <f>AK10</f>
        <v>0.76415765725762796</v>
      </c>
      <c r="AH10" s="31">
        <f>AK27</f>
        <v>0.38601005454871218</v>
      </c>
      <c r="AJ10" s="28" t="s">
        <v>53</v>
      </c>
      <c r="AK10" s="34">
        <f>AL10/AL9</f>
        <v>0.76415765725762796</v>
      </c>
      <c r="AL10" s="28">
        <f>K13</f>
        <v>628146</v>
      </c>
    </row>
    <row r="11" spans="2:38" ht="11.25" customHeight="1" x14ac:dyDescent="0.2">
      <c r="B11" s="2" t="s">
        <v>23</v>
      </c>
      <c r="C11" s="13" t="s">
        <v>5</v>
      </c>
      <c r="D11" s="13" t="s">
        <v>5</v>
      </c>
      <c r="E11" s="13" t="s">
        <v>5</v>
      </c>
      <c r="F11" s="13" t="s">
        <v>5</v>
      </c>
      <c r="G11" s="13" t="s">
        <v>5</v>
      </c>
      <c r="H11" s="13" t="s">
        <v>5</v>
      </c>
      <c r="I11" s="13" t="s">
        <v>5</v>
      </c>
      <c r="J11" s="13" t="s">
        <v>5</v>
      </c>
      <c r="K11" s="13" t="s">
        <v>5</v>
      </c>
      <c r="L11" s="13" t="s">
        <v>5</v>
      </c>
      <c r="M11" s="13" t="s">
        <v>5</v>
      </c>
      <c r="N11" s="13" t="s">
        <v>5</v>
      </c>
      <c r="O11" s="13" t="s">
        <v>5</v>
      </c>
      <c r="P11" s="13" t="s">
        <v>5</v>
      </c>
      <c r="Q11" s="13" t="s">
        <v>5</v>
      </c>
      <c r="R11" s="13" t="s">
        <v>5</v>
      </c>
      <c r="S11" s="13" t="s">
        <v>5</v>
      </c>
      <c r="T11" s="13" t="s">
        <v>5</v>
      </c>
      <c r="AF11" s="28" t="s">
        <v>54</v>
      </c>
      <c r="AG11" s="31">
        <f>AK11</f>
        <v>0.20290726036512893</v>
      </c>
      <c r="AH11" s="31">
        <f>AK28</f>
        <v>0.53456081737247751</v>
      </c>
      <c r="AJ11" s="28" t="s">
        <v>54</v>
      </c>
      <c r="AK11" s="34">
        <f>AL11/AL9</f>
        <v>0.20290726036512893</v>
      </c>
      <c r="AL11" s="28">
        <f>K14</f>
        <v>166792</v>
      </c>
    </row>
    <row r="12" spans="2:38" ht="11.25" customHeight="1" x14ac:dyDescent="0.2">
      <c r="B12" s="15" t="s">
        <v>1</v>
      </c>
      <c r="C12" s="24">
        <v>482670</v>
      </c>
      <c r="D12" s="11">
        <v>525572</v>
      </c>
      <c r="E12" s="11">
        <v>556771</v>
      </c>
      <c r="F12" s="11">
        <v>586209</v>
      </c>
      <c r="G12" s="11">
        <f>SUM(G13:G16)</f>
        <v>619081</v>
      </c>
      <c r="H12" s="11">
        <v>648901</v>
      </c>
      <c r="I12" s="11">
        <f t="shared" ref="I12:N12" si="4">SUM(I13:I16)</f>
        <v>686128</v>
      </c>
      <c r="J12" s="11">
        <f t="shared" si="4"/>
        <v>742447</v>
      </c>
      <c r="K12" s="11">
        <f t="shared" si="4"/>
        <v>822011</v>
      </c>
      <c r="L12" s="11">
        <f t="shared" si="4"/>
        <v>904869</v>
      </c>
      <c r="M12" s="11">
        <f t="shared" si="4"/>
        <v>932828</v>
      </c>
      <c r="N12" s="11">
        <f t="shared" si="4"/>
        <v>904308</v>
      </c>
      <c r="O12" s="11">
        <f t="shared" ref="O12" si="5">SUM(O13:O16)</f>
        <v>636664</v>
      </c>
      <c r="P12" s="11">
        <f>SUM(P13:P19)</f>
        <v>612321</v>
      </c>
      <c r="Q12" s="11">
        <f>SUM(Q13:Q19)</f>
        <v>618274</v>
      </c>
      <c r="R12" s="4">
        <f t="shared" ref="R12:S12" si="6">SUM(R13:R19)</f>
        <v>634603</v>
      </c>
      <c r="S12" s="11">
        <f t="shared" si="6"/>
        <v>657799</v>
      </c>
      <c r="T12" s="11">
        <f t="shared" ref="T12" si="7">SUM(T13:T19)</f>
        <v>679048</v>
      </c>
      <c r="AF12" s="28" t="s">
        <v>57</v>
      </c>
      <c r="AG12" s="31">
        <f>AK12</f>
        <v>3.293508237724313E-2</v>
      </c>
      <c r="AH12" s="31">
        <f>AK29</f>
        <v>7.9025621182305314E-2</v>
      </c>
      <c r="AJ12" s="28" t="s">
        <v>61</v>
      </c>
      <c r="AK12" s="34">
        <f>AL12/AL9</f>
        <v>3.293508237724313E-2</v>
      </c>
      <c r="AL12" s="28">
        <f>SUM(K15:K16)</f>
        <v>27073</v>
      </c>
    </row>
    <row r="13" spans="2:38" ht="11.25" customHeight="1" x14ac:dyDescent="0.25">
      <c r="B13" s="2" t="s">
        <v>8</v>
      </c>
      <c r="C13" s="13">
        <v>448707</v>
      </c>
      <c r="D13" s="12">
        <v>484024</v>
      </c>
      <c r="E13" s="12">
        <v>502119</v>
      </c>
      <c r="F13" s="12">
        <v>517489</v>
      </c>
      <c r="G13" s="12">
        <v>533764</v>
      </c>
      <c r="H13" s="12">
        <v>543374</v>
      </c>
      <c r="I13" s="12">
        <v>557990</v>
      </c>
      <c r="J13" s="12">
        <v>587376</v>
      </c>
      <c r="K13" s="12">
        <v>628146</v>
      </c>
      <c r="L13" s="12">
        <v>668141</v>
      </c>
      <c r="M13" s="12">
        <v>677096</v>
      </c>
      <c r="N13" s="12">
        <v>648303</v>
      </c>
      <c r="O13" s="12">
        <v>402136</v>
      </c>
      <c r="P13" s="12">
        <v>363424</v>
      </c>
      <c r="Q13" s="12">
        <v>335429</v>
      </c>
      <c r="R13" s="5">
        <v>315201</v>
      </c>
      <c r="S13" s="12">
        <v>300124</v>
      </c>
      <c r="T13" s="12">
        <v>287289</v>
      </c>
      <c r="AF13" s="28" t="s">
        <v>62</v>
      </c>
      <c r="AG13" s="31">
        <f t="shared" ref="AG13" si="8">AK13</f>
        <v>0</v>
      </c>
      <c r="AH13" s="31">
        <f t="shared" ref="AH13" si="9">AK30</f>
        <v>4.0350689650499793E-4</v>
      </c>
      <c r="AJ13" s="28" t="s">
        <v>63</v>
      </c>
      <c r="AK13" s="34">
        <f>AL13/AL9</f>
        <v>0</v>
      </c>
      <c r="AL13" s="28">
        <f>SUM(I25:I27)</f>
        <v>0</v>
      </c>
    </row>
    <row r="14" spans="2:38" ht="11.25" customHeight="1" x14ac:dyDescent="0.2">
      <c r="B14" s="2" t="s">
        <v>9</v>
      </c>
      <c r="C14" s="13">
        <v>33865</v>
      </c>
      <c r="D14" s="12">
        <v>41171</v>
      </c>
      <c r="E14" s="12">
        <v>49659</v>
      </c>
      <c r="F14" s="12">
        <v>60996</v>
      </c>
      <c r="G14" s="12">
        <v>74805</v>
      </c>
      <c r="H14" s="12">
        <v>91089</v>
      </c>
      <c r="I14" s="12">
        <v>109432</v>
      </c>
      <c r="J14" s="12">
        <v>131569</v>
      </c>
      <c r="K14" s="12">
        <v>166792</v>
      </c>
      <c r="L14" s="12">
        <v>208071</v>
      </c>
      <c r="M14" s="12">
        <v>226813</v>
      </c>
      <c r="N14" s="12">
        <v>227282</v>
      </c>
      <c r="O14" s="12">
        <v>210075</v>
      </c>
      <c r="P14" s="12">
        <v>221085</v>
      </c>
      <c r="Q14" s="12">
        <v>244410</v>
      </c>
      <c r="R14" s="5">
        <v>272977</v>
      </c>
      <c r="S14" s="12">
        <v>305612</v>
      </c>
      <c r="T14" s="12">
        <v>337453</v>
      </c>
    </row>
    <row r="15" spans="2:38" ht="11.25" customHeight="1" x14ac:dyDescent="0.2">
      <c r="B15" s="2" t="s">
        <v>10</v>
      </c>
      <c r="C15" s="13">
        <v>98</v>
      </c>
      <c r="D15" s="12">
        <v>94</v>
      </c>
      <c r="E15" s="12">
        <v>181</v>
      </c>
      <c r="F15" s="12">
        <v>147</v>
      </c>
      <c r="G15" s="12">
        <v>129</v>
      </c>
      <c r="H15" s="12">
        <v>69</v>
      </c>
      <c r="I15" s="12">
        <v>62</v>
      </c>
      <c r="J15" s="12">
        <v>57</v>
      </c>
      <c r="K15" s="12">
        <v>54</v>
      </c>
      <c r="L15" s="12">
        <v>50</v>
      </c>
      <c r="M15" s="12">
        <v>47</v>
      </c>
      <c r="N15" s="12">
        <v>42</v>
      </c>
      <c r="O15" s="12">
        <v>3</v>
      </c>
      <c r="P15" s="12">
        <v>5</v>
      </c>
      <c r="Q15" s="12">
        <v>3</v>
      </c>
      <c r="R15" s="5">
        <v>5</v>
      </c>
      <c r="S15" s="12">
        <v>8</v>
      </c>
      <c r="T15" s="12">
        <v>16</v>
      </c>
    </row>
    <row r="16" spans="2:38" ht="11.25" customHeight="1" x14ac:dyDescent="0.2">
      <c r="B16" s="2" t="s">
        <v>60</v>
      </c>
      <c r="C16" s="13" t="s">
        <v>5</v>
      </c>
      <c r="D16" s="12">
        <v>283</v>
      </c>
      <c r="E16" s="12">
        <v>4812</v>
      </c>
      <c r="F16" s="12">
        <v>7577</v>
      </c>
      <c r="G16" s="12">
        <v>10383</v>
      </c>
      <c r="H16" s="12">
        <v>14369</v>
      </c>
      <c r="I16" s="12">
        <v>18644</v>
      </c>
      <c r="J16" s="12">
        <v>23445</v>
      </c>
      <c r="K16" s="12">
        <v>27019</v>
      </c>
      <c r="L16" s="12">
        <v>28607</v>
      </c>
      <c r="M16" s="12">
        <v>28872</v>
      </c>
      <c r="N16" s="12">
        <v>28681</v>
      </c>
      <c r="O16" s="12">
        <v>24450</v>
      </c>
      <c r="P16" s="12">
        <v>27805</v>
      </c>
      <c r="Q16" s="12">
        <v>38417</v>
      </c>
      <c r="R16" s="5">
        <v>46396</v>
      </c>
      <c r="S16" s="12">
        <v>51856</v>
      </c>
      <c r="T16" s="12">
        <v>54062</v>
      </c>
    </row>
    <row r="17" spans="2:39" ht="11.25" customHeight="1" x14ac:dyDescent="0.2">
      <c r="B17" s="2" t="s">
        <v>25</v>
      </c>
      <c r="C17" s="13" t="s">
        <v>5</v>
      </c>
      <c r="D17" s="13" t="s">
        <v>5</v>
      </c>
      <c r="E17" s="13" t="s">
        <v>5</v>
      </c>
      <c r="F17" s="13" t="s">
        <v>5</v>
      </c>
      <c r="G17" s="13" t="s">
        <v>5</v>
      </c>
      <c r="H17" s="13" t="s">
        <v>5</v>
      </c>
      <c r="I17" s="13" t="s">
        <v>5</v>
      </c>
      <c r="J17" s="13" t="s">
        <v>5</v>
      </c>
      <c r="K17" s="13" t="s">
        <v>5</v>
      </c>
      <c r="L17" s="13" t="s">
        <v>5</v>
      </c>
      <c r="M17" s="13" t="s">
        <v>5</v>
      </c>
      <c r="N17" s="13" t="s">
        <v>5</v>
      </c>
      <c r="O17" s="13" t="s">
        <v>5</v>
      </c>
      <c r="P17" s="13" t="s">
        <v>5</v>
      </c>
      <c r="Q17" s="12">
        <v>4</v>
      </c>
      <c r="R17" s="5">
        <v>6</v>
      </c>
      <c r="S17" s="12">
        <v>7</v>
      </c>
      <c r="T17" s="12">
        <v>5</v>
      </c>
    </row>
    <row r="18" spans="2:39" ht="11.25" customHeight="1" x14ac:dyDescent="0.2">
      <c r="B18" s="2" t="s">
        <v>21</v>
      </c>
      <c r="C18" s="13" t="s">
        <v>5</v>
      </c>
      <c r="D18" s="13" t="s">
        <v>5</v>
      </c>
      <c r="E18" s="13" t="s">
        <v>5</v>
      </c>
      <c r="F18" s="13" t="s">
        <v>5</v>
      </c>
      <c r="G18" s="13" t="s">
        <v>5</v>
      </c>
      <c r="H18" s="13" t="s">
        <v>5</v>
      </c>
      <c r="I18" s="13" t="s">
        <v>5</v>
      </c>
      <c r="J18" s="13" t="s">
        <v>5</v>
      </c>
      <c r="K18" s="13" t="s">
        <v>5</v>
      </c>
      <c r="L18" s="13" t="s">
        <v>5</v>
      </c>
      <c r="M18" s="13" t="s">
        <v>5</v>
      </c>
      <c r="N18" s="13" t="s">
        <v>5</v>
      </c>
      <c r="O18" s="13" t="s">
        <v>5</v>
      </c>
      <c r="P18" s="13" t="s">
        <v>5</v>
      </c>
      <c r="Q18" s="12">
        <v>10</v>
      </c>
      <c r="R18" s="6">
        <v>15</v>
      </c>
      <c r="S18" s="12">
        <v>188</v>
      </c>
      <c r="T18" s="12">
        <v>211</v>
      </c>
    </row>
    <row r="19" spans="2:39" ht="11.25" customHeight="1" x14ac:dyDescent="0.2">
      <c r="B19" s="2" t="s">
        <v>23</v>
      </c>
      <c r="C19" s="13" t="s">
        <v>5</v>
      </c>
      <c r="D19" s="13" t="s">
        <v>5</v>
      </c>
      <c r="E19" s="13" t="s">
        <v>5</v>
      </c>
      <c r="F19" s="13" t="s">
        <v>5</v>
      </c>
      <c r="G19" s="13" t="s">
        <v>5</v>
      </c>
      <c r="H19" s="13" t="s">
        <v>5</v>
      </c>
      <c r="I19" s="13" t="s">
        <v>5</v>
      </c>
      <c r="J19" s="13" t="s">
        <v>5</v>
      </c>
      <c r="K19" s="13" t="s">
        <v>5</v>
      </c>
      <c r="L19" s="13" t="s">
        <v>5</v>
      </c>
      <c r="M19" s="13" t="s">
        <v>5</v>
      </c>
      <c r="N19" s="13" t="s">
        <v>5</v>
      </c>
      <c r="O19" s="13" t="s">
        <v>5</v>
      </c>
      <c r="P19" s="12">
        <v>2</v>
      </c>
      <c r="Q19" s="12">
        <v>1</v>
      </c>
      <c r="R19" s="6">
        <v>3</v>
      </c>
      <c r="S19" s="12">
        <v>4</v>
      </c>
      <c r="T19" s="12">
        <v>12</v>
      </c>
    </row>
    <row r="20" spans="2:39" ht="11.25" customHeight="1" x14ac:dyDescent="0.2">
      <c r="B20" s="15" t="s">
        <v>2</v>
      </c>
      <c r="C20" s="24">
        <v>11508</v>
      </c>
      <c r="D20" s="11">
        <v>11556</v>
      </c>
      <c r="E20" s="11">
        <v>11501</v>
      </c>
      <c r="F20" s="11">
        <v>11294</v>
      </c>
      <c r="G20" s="11">
        <f>SUM(G21:G24)</f>
        <v>11164</v>
      </c>
      <c r="H20" s="11">
        <v>10983</v>
      </c>
      <c r="I20" s="11">
        <f t="shared" ref="I20:N20" si="10">SUM(I21:I24)</f>
        <v>10740</v>
      </c>
      <c r="J20" s="11">
        <f t="shared" si="10"/>
        <v>10644</v>
      </c>
      <c r="K20" s="11">
        <f t="shared" si="10"/>
        <v>10628</v>
      </c>
      <c r="L20" s="11">
        <f t="shared" si="10"/>
        <v>10624</v>
      </c>
      <c r="M20" s="11">
        <f t="shared" si="10"/>
        <v>10543</v>
      </c>
      <c r="N20" s="11">
        <f t="shared" si="10"/>
        <v>9687</v>
      </c>
      <c r="O20" s="11">
        <f>SUM(O21:O24)</f>
        <v>5377</v>
      </c>
      <c r="P20" s="11">
        <f>SUM(P21:P24)</f>
        <v>5186</v>
      </c>
      <c r="Q20" s="11">
        <f>SUM(Q21:Q24)</f>
        <v>5041</v>
      </c>
      <c r="R20" s="4">
        <f t="shared" ref="R20:S20" si="11">SUM(R21:R27)</f>
        <v>4989</v>
      </c>
      <c r="S20" s="11">
        <f t="shared" si="11"/>
        <v>4845</v>
      </c>
      <c r="T20" s="11">
        <f t="shared" ref="T20" si="12">SUM(T21:T27)</f>
        <v>4797</v>
      </c>
      <c r="AL20" s="28" t="s">
        <v>55</v>
      </c>
    </row>
    <row r="21" spans="2:39" ht="11.25" customHeight="1" x14ac:dyDescent="0.2">
      <c r="B21" s="2" t="s">
        <v>8</v>
      </c>
      <c r="C21" s="13">
        <v>8023</v>
      </c>
      <c r="D21" s="12">
        <v>7637</v>
      </c>
      <c r="E21" s="12">
        <v>6737</v>
      </c>
      <c r="F21" s="12">
        <v>6209</v>
      </c>
      <c r="G21" s="12">
        <v>5697</v>
      </c>
      <c r="H21" s="12">
        <v>5137</v>
      </c>
      <c r="I21" s="12">
        <v>4597</v>
      </c>
      <c r="J21" s="12">
        <v>4315</v>
      </c>
      <c r="K21" s="12">
        <v>4044</v>
      </c>
      <c r="L21" s="12">
        <v>3857</v>
      </c>
      <c r="M21" s="12">
        <v>3680</v>
      </c>
      <c r="N21" s="12">
        <v>3273</v>
      </c>
      <c r="O21" s="12">
        <v>194</v>
      </c>
      <c r="P21" s="12">
        <v>120</v>
      </c>
      <c r="Q21" s="12">
        <v>92</v>
      </c>
      <c r="R21" s="5">
        <v>71</v>
      </c>
      <c r="S21" s="12">
        <v>52</v>
      </c>
      <c r="T21" s="12">
        <v>44</v>
      </c>
      <c r="AJ21" s="32" t="s">
        <v>18</v>
      </c>
      <c r="AK21" s="33">
        <f>AL21/AL21</f>
        <v>1</v>
      </c>
      <c r="AL21" s="32">
        <v>752940</v>
      </c>
      <c r="AM21" s="32"/>
    </row>
    <row r="22" spans="2:39" ht="11.25" customHeight="1" x14ac:dyDescent="0.2">
      <c r="B22" s="2" t="s">
        <v>9</v>
      </c>
      <c r="C22" s="13">
        <v>3447</v>
      </c>
      <c r="D22" s="12">
        <v>3877</v>
      </c>
      <c r="E22" s="12">
        <v>4519</v>
      </c>
      <c r="F22" s="12">
        <v>4764</v>
      </c>
      <c r="G22" s="12">
        <v>5149</v>
      </c>
      <c r="H22" s="12">
        <v>5530</v>
      </c>
      <c r="I22" s="12">
        <v>5855</v>
      </c>
      <c r="J22" s="12">
        <v>6051</v>
      </c>
      <c r="K22" s="12">
        <v>6339</v>
      </c>
      <c r="L22" s="12">
        <v>6561</v>
      </c>
      <c r="M22" s="12">
        <v>6689</v>
      </c>
      <c r="N22" s="12">
        <v>6272</v>
      </c>
      <c r="O22" s="12">
        <v>5143</v>
      </c>
      <c r="P22" s="12">
        <v>5044</v>
      </c>
      <c r="Q22" s="12">
        <v>4931</v>
      </c>
      <c r="R22" s="5">
        <v>4899</v>
      </c>
      <c r="S22" s="12">
        <v>4777</v>
      </c>
      <c r="T22" s="12">
        <v>4737</v>
      </c>
      <c r="AJ22" s="28" t="s">
        <v>53</v>
      </c>
      <c r="AK22" s="34">
        <f>AL22/AL21</f>
        <v>0.34521874252928519</v>
      </c>
      <c r="AL22" s="28">
        <v>259929</v>
      </c>
    </row>
    <row r="23" spans="2:39" ht="11.25" customHeight="1" x14ac:dyDescent="0.2">
      <c r="B23" s="2" t="s">
        <v>10</v>
      </c>
      <c r="C23" s="13">
        <v>38</v>
      </c>
      <c r="D23" s="12">
        <v>35</v>
      </c>
      <c r="E23" s="12">
        <v>34</v>
      </c>
      <c r="F23" s="12">
        <v>33</v>
      </c>
      <c r="G23" s="12">
        <v>21</v>
      </c>
      <c r="H23" s="12">
        <v>11</v>
      </c>
      <c r="I23" s="12">
        <v>10</v>
      </c>
      <c r="J23" s="12">
        <v>9</v>
      </c>
      <c r="K23" s="12">
        <v>8</v>
      </c>
      <c r="L23" s="12">
        <v>11</v>
      </c>
      <c r="M23" s="12">
        <v>9</v>
      </c>
      <c r="N23" s="12">
        <v>7</v>
      </c>
      <c r="O23" s="12">
        <v>0</v>
      </c>
      <c r="P23" s="12">
        <v>0</v>
      </c>
      <c r="Q23" s="12">
        <v>0</v>
      </c>
      <c r="R23" s="5">
        <v>0</v>
      </c>
      <c r="S23" s="12">
        <v>0</v>
      </c>
      <c r="T23" s="12">
        <v>0</v>
      </c>
      <c r="AJ23" s="28" t="s">
        <v>54</v>
      </c>
      <c r="AK23" s="34">
        <f>AL23/AL21</f>
        <v>0.58226286291072327</v>
      </c>
      <c r="AL23" s="28">
        <v>438409</v>
      </c>
    </row>
    <row r="24" spans="2:39" ht="11.25" customHeight="1" x14ac:dyDescent="0.2">
      <c r="B24" s="2" t="s">
        <v>60</v>
      </c>
      <c r="C24" s="13" t="s">
        <v>5</v>
      </c>
      <c r="D24" s="12">
        <v>7</v>
      </c>
      <c r="E24" s="12">
        <v>211</v>
      </c>
      <c r="F24" s="12">
        <v>288</v>
      </c>
      <c r="G24" s="12">
        <v>297</v>
      </c>
      <c r="H24" s="12">
        <v>305</v>
      </c>
      <c r="I24" s="12">
        <v>278</v>
      </c>
      <c r="J24" s="12">
        <v>269</v>
      </c>
      <c r="K24" s="12">
        <v>237</v>
      </c>
      <c r="L24" s="12">
        <v>195</v>
      </c>
      <c r="M24" s="12">
        <v>165</v>
      </c>
      <c r="N24" s="12">
        <v>135</v>
      </c>
      <c r="O24" s="12">
        <v>40</v>
      </c>
      <c r="P24" s="12">
        <v>22</v>
      </c>
      <c r="Q24" s="12">
        <v>18</v>
      </c>
      <c r="R24" s="5">
        <v>15</v>
      </c>
      <c r="S24" s="12">
        <v>12</v>
      </c>
      <c r="T24" s="12">
        <v>13</v>
      </c>
      <c r="AJ24" s="28" t="s">
        <v>61</v>
      </c>
      <c r="AK24" s="34">
        <f>AL24/AL21</f>
        <v>7.2147847106011104E-2</v>
      </c>
      <c r="AL24" s="28">
        <v>54323</v>
      </c>
    </row>
    <row r="25" spans="2:39" ht="11.25" customHeight="1" x14ac:dyDescent="0.25">
      <c r="B25" s="2" t="s">
        <v>25</v>
      </c>
      <c r="C25" s="13" t="s">
        <v>5</v>
      </c>
      <c r="D25" s="13" t="s">
        <v>5</v>
      </c>
      <c r="E25" s="13" t="s">
        <v>5</v>
      </c>
      <c r="F25" s="13" t="s">
        <v>5</v>
      </c>
      <c r="G25" s="13" t="s">
        <v>5</v>
      </c>
      <c r="H25" s="13" t="s">
        <v>5</v>
      </c>
      <c r="I25" s="13" t="s">
        <v>5</v>
      </c>
      <c r="J25" s="13" t="s">
        <v>5</v>
      </c>
      <c r="K25" s="13" t="s">
        <v>5</v>
      </c>
      <c r="L25" s="13" t="s">
        <v>5</v>
      </c>
      <c r="M25" s="13" t="s">
        <v>5</v>
      </c>
      <c r="N25" s="13" t="s">
        <v>5</v>
      </c>
      <c r="O25" s="13" t="s">
        <v>5</v>
      </c>
      <c r="P25" s="13" t="s">
        <v>5</v>
      </c>
      <c r="Q25" s="12">
        <v>3</v>
      </c>
      <c r="R25" s="5">
        <v>4</v>
      </c>
      <c r="S25" s="12">
        <v>4</v>
      </c>
      <c r="T25" s="12">
        <v>3</v>
      </c>
      <c r="AJ25" s="28" t="s">
        <v>63</v>
      </c>
      <c r="AK25" s="34">
        <f>AL25/AL21</f>
        <v>3.7054745398039683E-4</v>
      </c>
      <c r="AL25" s="28">
        <v>279</v>
      </c>
    </row>
    <row r="26" spans="2:39" ht="11.25" customHeight="1" x14ac:dyDescent="0.2">
      <c r="B26" s="2" t="s">
        <v>21</v>
      </c>
      <c r="C26" s="13" t="s">
        <v>5</v>
      </c>
      <c r="D26" s="13" t="s">
        <v>5</v>
      </c>
      <c r="E26" s="13" t="s">
        <v>5</v>
      </c>
      <c r="F26" s="13" t="s">
        <v>5</v>
      </c>
      <c r="G26" s="13" t="s">
        <v>5</v>
      </c>
      <c r="H26" s="13" t="s">
        <v>5</v>
      </c>
      <c r="I26" s="13" t="s">
        <v>5</v>
      </c>
      <c r="J26" s="13" t="s">
        <v>5</v>
      </c>
      <c r="K26" s="13" t="s">
        <v>5</v>
      </c>
      <c r="L26" s="13" t="s">
        <v>5</v>
      </c>
      <c r="M26" s="13" t="s">
        <v>5</v>
      </c>
      <c r="N26" s="13" t="s">
        <v>5</v>
      </c>
      <c r="O26" s="13" t="s">
        <v>5</v>
      </c>
      <c r="P26" s="13" t="s">
        <v>5</v>
      </c>
      <c r="Q26" s="13" t="s">
        <v>5</v>
      </c>
      <c r="R26" s="13" t="s">
        <v>5</v>
      </c>
      <c r="S26" s="13" t="s">
        <v>5</v>
      </c>
      <c r="T26" s="13" t="s">
        <v>5</v>
      </c>
      <c r="AJ26" s="32" t="s">
        <v>30</v>
      </c>
      <c r="AK26" s="33">
        <f>AL26/AL26</f>
        <v>1</v>
      </c>
      <c r="AL26" s="32">
        <v>664177</v>
      </c>
      <c r="AM26" s="32"/>
    </row>
    <row r="27" spans="2:39" ht="11.25" customHeight="1" x14ac:dyDescent="0.2">
      <c r="B27" s="2" t="s">
        <v>23</v>
      </c>
      <c r="C27" s="13" t="s">
        <v>5</v>
      </c>
      <c r="D27" s="13" t="s">
        <v>5</v>
      </c>
      <c r="E27" s="13" t="s">
        <v>5</v>
      </c>
      <c r="F27" s="13" t="s">
        <v>5</v>
      </c>
      <c r="G27" s="13" t="s">
        <v>5</v>
      </c>
      <c r="H27" s="13" t="s">
        <v>5</v>
      </c>
      <c r="I27" s="13" t="s">
        <v>5</v>
      </c>
      <c r="J27" s="13" t="s">
        <v>5</v>
      </c>
      <c r="K27" s="13" t="s">
        <v>5</v>
      </c>
      <c r="L27" s="13" t="s">
        <v>5</v>
      </c>
      <c r="M27" s="13" t="s">
        <v>5</v>
      </c>
      <c r="N27" s="13" t="s">
        <v>5</v>
      </c>
      <c r="O27" s="13" t="s">
        <v>5</v>
      </c>
      <c r="P27" s="13" t="s">
        <v>5</v>
      </c>
      <c r="Q27" s="13" t="s">
        <v>5</v>
      </c>
      <c r="R27" s="13" t="s">
        <v>5</v>
      </c>
      <c r="S27" s="13" t="s">
        <v>5</v>
      </c>
      <c r="T27" s="13" t="s">
        <v>5</v>
      </c>
      <c r="AJ27" s="28" t="s">
        <v>53</v>
      </c>
      <c r="AK27" s="34">
        <f>AL27/AL26</f>
        <v>0.38601005454871218</v>
      </c>
      <c r="AL27" s="28">
        <v>256379</v>
      </c>
    </row>
    <row r="28" spans="2:39" ht="11.25" customHeight="1" x14ac:dyDescent="0.2">
      <c r="B28" s="22" t="s">
        <v>18</v>
      </c>
      <c r="C28" s="7">
        <f>C4+C12+C20</f>
        <v>579120</v>
      </c>
      <c r="D28" s="7">
        <f t="shared" ref="D28:G32" si="13">D4+D12+D20</f>
        <v>627348</v>
      </c>
      <c r="E28" s="7">
        <f t="shared" si="13"/>
        <v>665353</v>
      </c>
      <c r="F28" s="7">
        <f t="shared" si="13"/>
        <v>697211</v>
      </c>
      <c r="G28" s="7">
        <f t="shared" si="13"/>
        <v>732979</v>
      </c>
      <c r="H28" s="7">
        <f t="shared" ref="H28:K32" si="14">H4+H12+H20</f>
        <v>764510</v>
      </c>
      <c r="I28" s="7">
        <f t="shared" si="14"/>
        <v>804421</v>
      </c>
      <c r="J28" s="7">
        <f t="shared" si="14"/>
        <v>866204</v>
      </c>
      <c r="K28" s="7">
        <f t="shared" si="14"/>
        <v>953759</v>
      </c>
      <c r="L28" s="7">
        <f t="shared" ref="L28:O32" si="15">L4+L12+L20</f>
        <v>1045107</v>
      </c>
      <c r="M28" s="7">
        <f t="shared" si="15"/>
        <v>1073176</v>
      </c>
      <c r="N28" s="7">
        <f t="shared" si="15"/>
        <v>1034566</v>
      </c>
      <c r="O28" s="7">
        <f t="shared" si="15"/>
        <v>713616</v>
      </c>
      <c r="P28" s="7">
        <f>SUM(P29:P35)</f>
        <v>690129</v>
      </c>
      <c r="Q28" s="7">
        <f>SUM(Q29:Q35)</f>
        <v>699621</v>
      </c>
      <c r="R28" s="22">
        <f t="shared" ref="R28:S33" si="16">R4+R12+R20</f>
        <v>719491</v>
      </c>
      <c r="S28" s="22">
        <f t="shared" si="16"/>
        <v>745849</v>
      </c>
      <c r="T28" s="7">
        <f t="shared" ref="T28" si="17">T4+T12+T20</f>
        <v>769843</v>
      </c>
      <c r="AJ28" s="28" t="s">
        <v>54</v>
      </c>
      <c r="AK28" s="34">
        <f>AL28/AL26</f>
        <v>0.53456081737247751</v>
      </c>
      <c r="AL28" s="28">
        <v>355043</v>
      </c>
    </row>
    <row r="29" spans="2:39" ht="11.25" customHeight="1" x14ac:dyDescent="0.2">
      <c r="B29" s="25" t="s">
        <v>8</v>
      </c>
      <c r="C29" s="8">
        <f>C5+C13+C21</f>
        <v>510099</v>
      </c>
      <c r="D29" s="8">
        <f t="shared" si="13"/>
        <v>545555</v>
      </c>
      <c r="E29" s="8">
        <f t="shared" si="13"/>
        <v>564395</v>
      </c>
      <c r="F29" s="8">
        <f t="shared" si="13"/>
        <v>577181</v>
      </c>
      <c r="G29" s="8">
        <f t="shared" si="13"/>
        <v>591240</v>
      </c>
      <c r="H29" s="8">
        <f t="shared" si="14"/>
        <v>597552</v>
      </c>
      <c r="I29" s="8">
        <f t="shared" si="14"/>
        <v>609189</v>
      </c>
      <c r="J29" s="8">
        <f t="shared" si="14"/>
        <v>636866</v>
      </c>
      <c r="K29" s="8">
        <f t="shared" si="14"/>
        <v>676328</v>
      </c>
      <c r="L29" s="8">
        <f t="shared" si="15"/>
        <v>715240</v>
      </c>
      <c r="M29" s="8">
        <f t="shared" si="15"/>
        <v>722873</v>
      </c>
      <c r="N29" s="8">
        <f t="shared" si="15"/>
        <v>689444</v>
      </c>
      <c r="O29" s="8">
        <f t="shared" si="15"/>
        <v>409393</v>
      </c>
      <c r="P29" s="8">
        <f t="shared" ref="P29:Q32" si="18">P5+P13+P21</f>
        <v>369663</v>
      </c>
      <c r="Q29" s="8">
        <f t="shared" si="18"/>
        <v>341075</v>
      </c>
      <c r="R29" s="25">
        <f t="shared" si="16"/>
        <v>320331</v>
      </c>
      <c r="S29" s="25">
        <f t="shared" si="16"/>
        <v>304809</v>
      </c>
      <c r="T29" s="8">
        <f t="shared" ref="T29" si="19">T5+T13+T21</f>
        <v>291663</v>
      </c>
      <c r="AJ29" s="28" t="s">
        <v>61</v>
      </c>
      <c r="AK29" s="34">
        <f>AL29/AL26</f>
        <v>7.9025621182305314E-2</v>
      </c>
      <c r="AL29" s="28">
        <v>52487</v>
      </c>
    </row>
    <row r="30" spans="2:39" ht="11.25" customHeight="1" x14ac:dyDescent="0.25">
      <c r="B30" s="25" t="s">
        <v>9</v>
      </c>
      <c r="C30" s="8">
        <f>C6+C14+C22</f>
        <v>68481</v>
      </c>
      <c r="D30" s="8">
        <f t="shared" si="13"/>
        <v>80891</v>
      </c>
      <c r="E30" s="8">
        <f t="shared" si="13"/>
        <v>94156</v>
      </c>
      <c r="F30" s="8">
        <f t="shared" si="13"/>
        <v>109805</v>
      </c>
      <c r="G30" s="8">
        <f t="shared" si="13"/>
        <v>128338</v>
      </c>
      <c r="H30" s="8">
        <f t="shared" si="14"/>
        <v>149256</v>
      </c>
      <c r="I30" s="8">
        <f t="shared" si="14"/>
        <v>173137</v>
      </c>
      <c r="J30" s="8">
        <f t="shared" si="14"/>
        <v>202307</v>
      </c>
      <c r="K30" s="8">
        <f t="shared" si="14"/>
        <v>246762</v>
      </c>
      <c r="L30" s="8">
        <f t="shared" si="15"/>
        <v>297723</v>
      </c>
      <c r="M30" s="8">
        <f t="shared" si="15"/>
        <v>318060</v>
      </c>
      <c r="N30" s="8">
        <f t="shared" si="15"/>
        <v>313353</v>
      </c>
      <c r="O30" s="8">
        <f t="shared" si="15"/>
        <v>277989</v>
      </c>
      <c r="P30" s="8">
        <f t="shared" si="18"/>
        <v>291064</v>
      </c>
      <c r="Q30" s="8">
        <f t="shared" si="18"/>
        <v>318286</v>
      </c>
      <c r="R30" s="25">
        <f t="shared" si="16"/>
        <v>350738</v>
      </c>
      <c r="S30" s="25">
        <f t="shared" si="16"/>
        <v>386859</v>
      </c>
      <c r="T30" s="8">
        <f t="shared" ref="T30" si="20">T6+T14+T22</f>
        <v>421764</v>
      </c>
      <c r="AJ30" s="28" t="s">
        <v>63</v>
      </c>
      <c r="AK30" s="34">
        <f>AL30/AL26</f>
        <v>4.0350689650499793E-4</v>
      </c>
      <c r="AL30" s="28">
        <v>268</v>
      </c>
    </row>
    <row r="31" spans="2:39" ht="11.25" customHeight="1" x14ac:dyDescent="0.2">
      <c r="B31" s="25" t="s">
        <v>10</v>
      </c>
      <c r="C31" s="8">
        <f>C7+C15+C23</f>
        <v>540</v>
      </c>
      <c r="D31" s="8">
        <f t="shared" si="13"/>
        <v>539</v>
      </c>
      <c r="E31" s="8">
        <f t="shared" si="13"/>
        <v>530</v>
      </c>
      <c r="F31" s="8">
        <f t="shared" si="13"/>
        <v>455</v>
      </c>
      <c r="G31" s="8">
        <f t="shared" si="13"/>
        <v>401</v>
      </c>
      <c r="H31" s="8">
        <f t="shared" si="14"/>
        <v>261</v>
      </c>
      <c r="I31" s="8">
        <f t="shared" si="14"/>
        <v>245</v>
      </c>
      <c r="J31" s="8">
        <f t="shared" si="14"/>
        <v>238</v>
      </c>
      <c r="K31" s="8">
        <f t="shared" si="14"/>
        <v>230</v>
      </c>
      <c r="L31" s="8">
        <f t="shared" si="15"/>
        <v>226</v>
      </c>
      <c r="M31" s="8">
        <f t="shared" si="15"/>
        <v>220</v>
      </c>
      <c r="N31" s="8">
        <f t="shared" si="15"/>
        <v>211</v>
      </c>
      <c r="O31" s="8">
        <f t="shared" si="15"/>
        <v>20</v>
      </c>
      <c r="P31" s="8">
        <f t="shared" si="18"/>
        <v>20</v>
      </c>
      <c r="Q31" s="8">
        <f t="shared" si="18"/>
        <v>24</v>
      </c>
      <c r="R31" s="25">
        <f t="shared" si="16"/>
        <v>34</v>
      </c>
      <c r="S31" s="25">
        <f t="shared" si="16"/>
        <v>37</v>
      </c>
      <c r="T31" s="8">
        <f t="shared" ref="T31" si="21">T7+T15+T23</f>
        <v>47</v>
      </c>
      <c r="AJ31" s="32"/>
    </row>
    <row r="32" spans="2:39" ht="11.25" customHeight="1" x14ac:dyDescent="0.2">
      <c r="B32" s="25" t="s">
        <v>60</v>
      </c>
      <c r="C32" s="9" t="s">
        <v>5</v>
      </c>
      <c r="D32" s="8">
        <f t="shared" si="13"/>
        <v>363</v>
      </c>
      <c r="E32" s="8">
        <f t="shared" si="13"/>
        <v>6272</v>
      </c>
      <c r="F32" s="8">
        <f t="shared" si="13"/>
        <v>9770</v>
      </c>
      <c r="G32" s="8">
        <f t="shared" si="13"/>
        <v>13000</v>
      </c>
      <c r="H32" s="8">
        <f t="shared" si="14"/>
        <v>17441</v>
      </c>
      <c r="I32" s="8">
        <f t="shared" si="14"/>
        <v>21850</v>
      </c>
      <c r="J32" s="8">
        <f t="shared" si="14"/>
        <v>26793</v>
      </c>
      <c r="K32" s="8">
        <f t="shared" si="14"/>
        <v>30439</v>
      </c>
      <c r="L32" s="8">
        <f t="shared" si="15"/>
        <v>31918</v>
      </c>
      <c r="M32" s="8">
        <f t="shared" si="15"/>
        <v>32023</v>
      </c>
      <c r="N32" s="8">
        <f t="shared" si="15"/>
        <v>31558</v>
      </c>
      <c r="O32" s="8">
        <f t="shared" si="15"/>
        <v>26214</v>
      </c>
      <c r="P32" s="8">
        <f t="shared" si="18"/>
        <v>29378</v>
      </c>
      <c r="Q32" s="8">
        <f t="shared" si="18"/>
        <v>40190</v>
      </c>
      <c r="R32" s="25">
        <f t="shared" si="16"/>
        <v>48321</v>
      </c>
      <c r="S32" s="25">
        <f t="shared" si="16"/>
        <v>53885</v>
      </c>
      <c r="T32" s="8">
        <f t="shared" ref="T32" si="22">T8+T16+T24</f>
        <v>56087</v>
      </c>
    </row>
    <row r="33" spans="2:31" ht="11.25" customHeight="1" x14ac:dyDescent="0.2">
      <c r="B33" s="25" t="s">
        <v>25</v>
      </c>
      <c r="C33" s="9" t="s">
        <v>5</v>
      </c>
      <c r="D33" s="9" t="s">
        <v>5</v>
      </c>
      <c r="E33" s="9" t="s">
        <v>5</v>
      </c>
      <c r="F33" s="9" t="s">
        <v>5</v>
      </c>
      <c r="G33" s="9" t="s">
        <v>5</v>
      </c>
      <c r="H33" s="9" t="s">
        <v>5</v>
      </c>
      <c r="I33" s="9" t="s">
        <v>5</v>
      </c>
      <c r="J33" s="9" t="s">
        <v>5</v>
      </c>
      <c r="K33" s="9" t="s">
        <v>5</v>
      </c>
      <c r="L33" s="9" t="s">
        <v>5</v>
      </c>
      <c r="M33" s="9" t="s">
        <v>5</v>
      </c>
      <c r="N33" s="9" t="s">
        <v>5</v>
      </c>
      <c r="O33" s="9" t="s">
        <v>5</v>
      </c>
      <c r="P33" s="9" t="s">
        <v>5</v>
      </c>
      <c r="Q33" s="8">
        <f>Q9+Q17+Q25</f>
        <v>33</v>
      </c>
      <c r="R33" s="25">
        <f t="shared" si="16"/>
        <v>47</v>
      </c>
      <c r="S33" s="25">
        <f t="shared" si="16"/>
        <v>61</v>
      </c>
      <c r="T33" s="8">
        <f t="shared" ref="T33" si="23">T9+T17+T25</f>
        <v>52</v>
      </c>
    </row>
    <row r="34" spans="2:31" ht="11.25" customHeight="1" x14ac:dyDescent="0.2">
      <c r="B34" s="25" t="s">
        <v>21</v>
      </c>
      <c r="C34" s="9" t="s">
        <v>5</v>
      </c>
      <c r="D34" s="9" t="s">
        <v>5</v>
      </c>
      <c r="E34" s="9" t="s">
        <v>5</v>
      </c>
      <c r="F34" s="9" t="s">
        <v>5</v>
      </c>
      <c r="G34" s="9" t="s">
        <v>5</v>
      </c>
      <c r="H34" s="9" t="s">
        <v>5</v>
      </c>
      <c r="I34" s="9" t="s">
        <v>5</v>
      </c>
      <c r="J34" s="9" t="s">
        <v>5</v>
      </c>
      <c r="K34" s="9" t="s">
        <v>5</v>
      </c>
      <c r="L34" s="9" t="s">
        <v>5</v>
      </c>
      <c r="M34" s="9" t="s">
        <v>5</v>
      </c>
      <c r="N34" s="9" t="s">
        <v>5</v>
      </c>
      <c r="O34" s="9" t="s">
        <v>5</v>
      </c>
      <c r="P34" s="8">
        <f>P10</f>
        <v>2</v>
      </c>
      <c r="Q34" s="8">
        <f>Q10+Q18</f>
        <v>12</v>
      </c>
      <c r="R34" s="25">
        <f>R10+R18</f>
        <v>17</v>
      </c>
      <c r="S34" s="25">
        <f>S10+S18</f>
        <v>194</v>
      </c>
      <c r="T34" s="8">
        <f>T10+T18</f>
        <v>218</v>
      </c>
      <c r="V34" s="90" t="s">
        <v>58</v>
      </c>
      <c r="W34" s="90"/>
      <c r="X34" s="90"/>
      <c r="Y34" s="90"/>
      <c r="Z34" s="90"/>
      <c r="AA34" s="90"/>
      <c r="AB34" s="90"/>
      <c r="AC34" s="90"/>
      <c r="AD34" s="27"/>
      <c r="AE34" s="26"/>
    </row>
    <row r="35" spans="2:31" ht="11.25" customHeight="1" x14ac:dyDescent="0.2">
      <c r="B35" s="25" t="s">
        <v>23</v>
      </c>
      <c r="C35" s="9" t="s">
        <v>5</v>
      </c>
      <c r="D35" s="9" t="s">
        <v>5</v>
      </c>
      <c r="E35" s="9" t="s">
        <v>5</v>
      </c>
      <c r="F35" s="9" t="s">
        <v>5</v>
      </c>
      <c r="G35" s="9" t="s">
        <v>5</v>
      </c>
      <c r="H35" s="9" t="s">
        <v>5</v>
      </c>
      <c r="I35" s="9" t="s">
        <v>5</v>
      </c>
      <c r="J35" s="9" t="s">
        <v>5</v>
      </c>
      <c r="K35" s="9" t="s">
        <v>5</v>
      </c>
      <c r="L35" s="9" t="s">
        <v>5</v>
      </c>
      <c r="M35" s="9" t="s">
        <v>5</v>
      </c>
      <c r="N35" s="9" t="s">
        <v>5</v>
      </c>
      <c r="O35" s="9" t="s">
        <v>5</v>
      </c>
      <c r="P35" s="8">
        <f>P19</f>
        <v>2</v>
      </c>
      <c r="Q35" s="8">
        <f>Q19</f>
        <v>1</v>
      </c>
      <c r="R35" s="25">
        <f>R19</f>
        <v>3</v>
      </c>
      <c r="S35" s="25">
        <f>S19</f>
        <v>4</v>
      </c>
      <c r="T35" s="8">
        <f>T19</f>
        <v>12</v>
      </c>
      <c r="U35" s="1"/>
      <c r="V35" s="90" t="s">
        <v>59</v>
      </c>
      <c r="W35" s="90"/>
      <c r="X35" s="90"/>
      <c r="Y35" s="90"/>
      <c r="Z35" s="90"/>
      <c r="AA35" s="90"/>
      <c r="AB35" s="90"/>
      <c r="AC35" s="90"/>
      <c r="AD35" s="27"/>
      <c r="AE35" s="26"/>
    </row>
    <row r="36" spans="2:31" x14ac:dyDescent="0.2">
      <c r="G36" s="18"/>
      <c r="H36" s="18"/>
      <c r="I36" s="18"/>
      <c r="J36" s="18"/>
    </row>
    <row r="37" spans="2:31" x14ac:dyDescent="0.2">
      <c r="B37" s="92" t="s">
        <v>29</v>
      </c>
      <c r="C37" s="94" t="s">
        <v>0</v>
      </c>
      <c r="D37" s="95"/>
      <c r="E37" s="95"/>
      <c r="F37" s="96"/>
      <c r="G37" s="94" t="s">
        <v>30</v>
      </c>
      <c r="H37" s="95"/>
      <c r="I37" s="95"/>
      <c r="J37" s="96"/>
      <c r="K37" s="94" t="s">
        <v>31</v>
      </c>
      <c r="L37" s="95"/>
      <c r="M37" s="95"/>
      <c r="N37" s="96"/>
      <c r="O37" s="97" t="s">
        <v>18</v>
      </c>
      <c r="P37" s="97"/>
      <c r="Q37" s="97"/>
      <c r="R37" s="97"/>
    </row>
    <row r="38" spans="2:31" ht="56.25" customHeight="1" x14ac:dyDescent="0.2">
      <c r="B38" s="93"/>
      <c r="C38" s="20" t="s">
        <v>32</v>
      </c>
      <c r="D38" s="20" t="s">
        <v>33</v>
      </c>
      <c r="E38" s="20" t="s">
        <v>34</v>
      </c>
      <c r="F38" s="20" t="s">
        <v>35</v>
      </c>
      <c r="G38" s="20" t="s">
        <v>32</v>
      </c>
      <c r="H38" s="20" t="s">
        <v>33</v>
      </c>
      <c r="I38" s="20" t="s">
        <v>34</v>
      </c>
      <c r="J38" s="20" t="s">
        <v>35</v>
      </c>
      <c r="K38" s="20" t="s">
        <v>32</v>
      </c>
      <c r="L38" s="20" t="s">
        <v>33</v>
      </c>
      <c r="M38" s="20" t="s">
        <v>34</v>
      </c>
      <c r="N38" s="20" t="s">
        <v>35</v>
      </c>
      <c r="O38" s="21" t="s">
        <v>32</v>
      </c>
      <c r="P38" s="21" t="s">
        <v>33</v>
      </c>
      <c r="Q38" s="21" t="s">
        <v>34</v>
      </c>
      <c r="R38" s="21" t="s">
        <v>35</v>
      </c>
    </row>
    <row r="39" spans="2:31" x14ac:dyDescent="0.2">
      <c r="B39" s="16" t="s">
        <v>36</v>
      </c>
      <c r="C39" s="16">
        <v>4256</v>
      </c>
      <c r="D39" s="16">
        <v>3714</v>
      </c>
      <c r="E39" s="16">
        <v>3689</v>
      </c>
      <c r="F39" s="16">
        <v>3518</v>
      </c>
      <c r="G39" s="16">
        <v>285774</v>
      </c>
      <c r="H39" s="16">
        <v>263736</v>
      </c>
      <c r="I39" s="16">
        <v>261286</v>
      </c>
      <c r="J39" s="16">
        <v>256379</v>
      </c>
      <c r="K39" s="16">
        <v>42</v>
      </c>
      <c r="L39" s="16">
        <v>37</v>
      </c>
      <c r="M39" s="16">
        <v>32</v>
      </c>
      <c r="N39" s="16">
        <v>32</v>
      </c>
      <c r="O39" s="7">
        <f t="shared" ref="O39:R54" si="24">C39+G39+K39</f>
        <v>290072</v>
      </c>
      <c r="P39" s="7">
        <f t="shared" si="24"/>
        <v>267487</v>
      </c>
      <c r="Q39" s="7">
        <f t="shared" si="24"/>
        <v>265007</v>
      </c>
      <c r="R39" s="7">
        <f t="shared" si="24"/>
        <v>259929</v>
      </c>
    </row>
    <row r="40" spans="2:31" x14ac:dyDescent="0.2">
      <c r="B40" s="16" t="s">
        <v>37</v>
      </c>
      <c r="C40" s="16">
        <v>80025</v>
      </c>
      <c r="D40" s="16">
        <v>78231</v>
      </c>
      <c r="E40" s="16">
        <v>79185</v>
      </c>
      <c r="F40" s="16">
        <v>78714</v>
      </c>
      <c r="G40" s="16">
        <v>343344</v>
      </c>
      <c r="H40" s="16">
        <v>342017</v>
      </c>
      <c r="I40" s="16">
        <v>349981</v>
      </c>
      <c r="J40" s="16">
        <v>355043</v>
      </c>
      <c r="K40" s="16">
        <v>4720</v>
      </c>
      <c r="L40" s="16">
        <v>4606</v>
      </c>
      <c r="M40" s="16">
        <v>4635</v>
      </c>
      <c r="N40" s="16">
        <v>4652</v>
      </c>
      <c r="O40" s="7">
        <f t="shared" si="24"/>
        <v>428089</v>
      </c>
      <c r="P40" s="7">
        <f t="shared" si="24"/>
        <v>424854</v>
      </c>
      <c r="Q40" s="7">
        <f t="shared" si="24"/>
        <v>433801</v>
      </c>
      <c r="R40" s="7">
        <f t="shared" si="24"/>
        <v>438409</v>
      </c>
    </row>
    <row r="41" spans="2:31" x14ac:dyDescent="0.2">
      <c r="B41" s="16" t="s">
        <v>38</v>
      </c>
      <c r="C41" s="16">
        <v>32</v>
      </c>
      <c r="D41" s="16">
        <v>25</v>
      </c>
      <c r="E41" s="16">
        <v>22</v>
      </c>
      <c r="F41" s="16">
        <v>21</v>
      </c>
      <c r="G41" s="16">
        <v>16</v>
      </c>
      <c r="H41" s="16">
        <v>14</v>
      </c>
      <c r="I41" s="16">
        <v>14</v>
      </c>
      <c r="J41" s="16">
        <v>12</v>
      </c>
      <c r="K41" s="16">
        <v>0</v>
      </c>
      <c r="L41" s="16">
        <v>0</v>
      </c>
      <c r="M41" s="16">
        <v>0</v>
      </c>
      <c r="N41" s="16">
        <v>0</v>
      </c>
      <c r="O41" s="7">
        <f t="shared" si="24"/>
        <v>48</v>
      </c>
      <c r="P41" s="7">
        <f t="shared" si="24"/>
        <v>39</v>
      </c>
      <c r="Q41" s="7">
        <f t="shared" si="24"/>
        <v>36</v>
      </c>
      <c r="R41" s="7">
        <f t="shared" si="24"/>
        <v>33</v>
      </c>
    </row>
    <row r="42" spans="2:31" x14ac:dyDescent="0.2">
      <c r="B42" s="16" t="s">
        <v>39</v>
      </c>
      <c r="C42" s="16">
        <v>0</v>
      </c>
      <c r="D42" s="16">
        <v>0</v>
      </c>
      <c r="E42" s="16">
        <v>0</v>
      </c>
      <c r="F42" s="16">
        <v>0</v>
      </c>
      <c r="G42" s="16">
        <v>20</v>
      </c>
      <c r="H42" s="16">
        <v>24</v>
      </c>
      <c r="I42" s="16">
        <v>26</v>
      </c>
      <c r="J42" s="16">
        <v>27</v>
      </c>
      <c r="K42" s="16">
        <v>0</v>
      </c>
      <c r="L42" s="16">
        <v>0</v>
      </c>
      <c r="M42" s="16">
        <v>0</v>
      </c>
      <c r="N42" s="16">
        <v>0</v>
      </c>
      <c r="O42" s="7">
        <f t="shared" si="24"/>
        <v>20</v>
      </c>
      <c r="P42" s="7">
        <f t="shared" si="24"/>
        <v>24</v>
      </c>
      <c r="Q42" s="7">
        <f t="shared" si="24"/>
        <v>26</v>
      </c>
      <c r="R42" s="7">
        <f t="shared" si="24"/>
        <v>27</v>
      </c>
    </row>
    <row r="43" spans="2:31" x14ac:dyDescent="0.2">
      <c r="B43" s="16" t="s">
        <v>40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1</v>
      </c>
      <c r="N43" s="16">
        <v>0</v>
      </c>
      <c r="O43" s="7">
        <f t="shared" si="24"/>
        <v>0</v>
      </c>
      <c r="P43" s="7">
        <f t="shared" si="24"/>
        <v>0</v>
      </c>
      <c r="Q43" s="7">
        <f t="shared" si="24"/>
        <v>1</v>
      </c>
      <c r="R43" s="7">
        <f t="shared" si="24"/>
        <v>0</v>
      </c>
    </row>
    <row r="44" spans="2:31" x14ac:dyDescent="0.2">
      <c r="B44" s="16" t="s">
        <v>41</v>
      </c>
      <c r="C44" s="16">
        <v>7</v>
      </c>
      <c r="D44" s="16">
        <v>7</v>
      </c>
      <c r="E44" s="16">
        <v>11</v>
      </c>
      <c r="F44" s="16">
        <v>11</v>
      </c>
      <c r="G44" s="16">
        <v>219</v>
      </c>
      <c r="H44" s="16">
        <v>227</v>
      </c>
      <c r="I44" s="16">
        <v>235</v>
      </c>
      <c r="J44" s="16">
        <v>241</v>
      </c>
      <c r="K44" s="16">
        <v>0</v>
      </c>
      <c r="L44" s="16">
        <v>0</v>
      </c>
      <c r="M44" s="16">
        <v>0</v>
      </c>
      <c r="N44" s="16">
        <v>0</v>
      </c>
      <c r="O44" s="7">
        <f t="shared" si="24"/>
        <v>226</v>
      </c>
      <c r="P44" s="7">
        <f t="shared" si="24"/>
        <v>234</v>
      </c>
      <c r="Q44" s="7">
        <f t="shared" si="24"/>
        <v>246</v>
      </c>
      <c r="R44" s="7">
        <f t="shared" si="24"/>
        <v>252</v>
      </c>
    </row>
    <row r="45" spans="2:31" x14ac:dyDescent="0.2">
      <c r="B45" s="16" t="s">
        <v>42</v>
      </c>
      <c r="C45" s="16">
        <v>0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7">
        <f t="shared" si="24"/>
        <v>0</v>
      </c>
      <c r="P45" s="7">
        <f t="shared" si="24"/>
        <v>0</v>
      </c>
      <c r="Q45" s="7">
        <f t="shared" si="24"/>
        <v>0</v>
      </c>
      <c r="R45" s="7">
        <f t="shared" si="24"/>
        <v>0</v>
      </c>
    </row>
    <row r="46" spans="2:31" x14ac:dyDescent="0.2">
      <c r="B46" s="16" t="s">
        <v>43</v>
      </c>
      <c r="C46" s="16">
        <v>1951</v>
      </c>
      <c r="D46" s="16">
        <v>1765</v>
      </c>
      <c r="E46" s="16">
        <v>1694</v>
      </c>
      <c r="F46" s="16">
        <v>1560</v>
      </c>
      <c r="G46" s="16">
        <v>52596</v>
      </c>
      <c r="H46" s="16">
        <v>49024</v>
      </c>
      <c r="I46" s="16">
        <v>47255</v>
      </c>
      <c r="J46" s="16">
        <v>45092</v>
      </c>
      <c r="K46" s="16">
        <v>14</v>
      </c>
      <c r="L46" s="16">
        <v>11</v>
      </c>
      <c r="M46" s="16">
        <v>11</v>
      </c>
      <c r="N46" s="16">
        <v>9</v>
      </c>
      <c r="O46" s="7">
        <f t="shared" si="24"/>
        <v>54561</v>
      </c>
      <c r="P46" s="7">
        <f t="shared" si="24"/>
        <v>50800</v>
      </c>
      <c r="Q46" s="7">
        <f t="shared" si="24"/>
        <v>48960</v>
      </c>
      <c r="R46" s="7">
        <f t="shared" si="24"/>
        <v>46661</v>
      </c>
    </row>
    <row r="47" spans="2:31" x14ac:dyDescent="0.2">
      <c r="B47" s="16" t="s">
        <v>44</v>
      </c>
      <c r="C47" s="16">
        <v>41</v>
      </c>
      <c r="D47" s="16">
        <v>38</v>
      </c>
      <c r="E47" s="16">
        <v>34</v>
      </c>
      <c r="F47" s="16">
        <v>24</v>
      </c>
      <c r="G47" s="16">
        <v>5</v>
      </c>
      <c r="H47" s="16">
        <v>5</v>
      </c>
      <c r="I47" s="16">
        <v>5</v>
      </c>
      <c r="J47" s="16">
        <v>5</v>
      </c>
      <c r="K47" s="16">
        <v>3</v>
      </c>
      <c r="L47" s="16">
        <v>3</v>
      </c>
      <c r="M47" s="16">
        <v>3</v>
      </c>
      <c r="N47" s="16">
        <v>3</v>
      </c>
      <c r="O47" s="7">
        <f t="shared" si="24"/>
        <v>49</v>
      </c>
      <c r="P47" s="7">
        <f t="shared" si="24"/>
        <v>46</v>
      </c>
      <c r="Q47" s="7">
        <f t="shared" si="24"/>
        <v>42</v>
      </c>
      <c r="R47" s="7">
        <f t="shared" si="24"/>
        <v>32</v>
      </c>
    </row>
    <row r="48" spans="2:31" x14ac:dyDescent="0.2">
      <c r="B48" s="16" t="s">
        <v>45</v>
      </c>
      <c r="C48" s="16">
        <v>41</v>
      </c>
      <c r="D48" s="16">
        <v>91</v>
      </c>
      <c r="E48" s="16">
        <v>143</v>
      </c>
      <c r="F48" s="16">
        <v>200</v>
      </c>
      <c r="G48" s="16">
        <v>1542</v>
      </c>
      <c r="H48" s="16">
        <v>3412</v>
      </c>
      <c r="I48" s="16">
        <v>5374</v>
      </c>
      <c r="J48" s="16">
        <v>7291</v>
      </c>
      <c r="K48" s="16">
        <v>0</v>
      </c>
      <c r="L48" s="16">
        <v>0</v>
      </c>
      <c r="M48" s="16">
        <v>1</v>
      </c>
      <c r="N48" s="16">
        <v>0</v>
      </c>
      <c r="O48" s="7">
        <f t="shared" si="24"/>
        <v>1583</v>
      </c>
      <c r="P48" s="7">
        <f t="shared" si="24"/>
        <v>3503</v>
      </c>
      <c r="Q48" s="7">
        <f t="shared" si="24"/>
        <v>5518</v>
      </c>
      <c r="R48" s="7">
        <f t="shared" si="24"/>
        <v>7491</v>
      </c>
    </row>
    <row r="49" spans="1:18" x14ac:dyDescent="0.2">
      <c r="B49" s="16" t="s">
        <v>46</v>
      </c>
      <c r="C49" s="16">
        <v>1</v>
      </c>
      <c r="D49" s="16">
        <v>1</v>
      </c>
      <c r="E49" s="16">
        <v>1</v>
      </c>
      <c r="F49" s="16">
        <v>1</v>
      </c>
      <c r="G49" s="16">
        <v>22</v>
      </c>
      <c r="H49" s="16">
        <v>41</v>
      </c>
      <c r="I49" s="16">
        <v>53</v>
      </c>
      <c r="J49" s="16">
        <v>70</v>
      </c>
      <c r="K49" s="16">
        <v>0</v>
      </c>
      <c r="L49" s="16">
        <v>0</v>
      </c>
      <c r="M49" s="16">
        <v>0</v>
      </c>
      <c r="N49" s="16">
        <v>0</v>
      </c>
      <c r="O49" s="7">
        <f t="shared" si="24"/>
        <v>23</v>
      </c>
      <c r="P49" s="7">
        <f t="shared" si="24"/>
        <v>42</v>
      </c>
      <c r="Q49" s="7">
        <f t="shared" si="24"/>
        <v>54</v>
      </c>
      <c r="R49" s="7">
        <f t="shared" si="24"/>
        <v>71</v>
      </c>
    </row>
    <row r="50" spans="1:18" x14ac:dyDescent="0.2">
      <c r="B50" s="16" t="s">
        <v>47</v>
      </c>
      <c r="C50" s="16">
        <v>2</v>
      </c>
      <c r="D50" s="16">
        <v>3</v>
      </c>
      <c r="E50" s="16">
        <v>5</v>
      </c>
      <c r="F50" s="16">
        <v>6</v>
      </c>
      <c r="G50" s="16">
        <v>1</v>
      </c>
      <c r="H50" s="16">
        <v>2</v>
      </c>
      <c r="I50" s="16">
        <v>2</v>
      </c>
      <c r="J50" s="16">
        <v>1</v>
      </c>
      <c r="K50" s="16">
        <v>0</v>
      </c>
      <c r="L50" s="16">
        <v>0</v>
      </c>
      <c r="M50" s="16">
        <v>0</v>
      </c>
      <c r="N50" s="16">
        <v>0</v>
      </c>
      <c r="O50" s="7">
        <f t="shared" si="24"/>
        <v>3</v>
      </c>
      <c r="P50" s="7">
        <f t="shared" si="24"/>
        <v>5</v>
      </c>
      <c r="Q50" s="7">
        <f t="shared" si="24"/>
        <v>7</v>
      </c>
      <c r="R50" s="7">
        <f t="shared" si="24"/>
        <v>7</v>
      </c>
    </row>
    <row r="51" spans="1:18" x14ac:dyDescent="0.2">
      <c r="B51" s="16" t="s">
        <v>48</v>
      </c>
      <c r="C51" s="16">
        <v>0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7">
        <f t="shared" si="24"/>
        <v>0</v>
      </c>
      <c r="P51" s="7">
        <f t="shared" si="24"/>
        <v>0</v>
      </c>
      <c r="Q51" s="7">
        <f t="shared" si="24"/>
        <v>0</v>
      </c>
      <c r="R51" s="7">
        <f t="shared" si="24"/>
        <v>0</v>
      </c>
    </row>
    <row r="52" spans="1:18" x14ac:dyDescent="0.2">
      <c r="B52" s="16" t="s">
        <v>49</v>
      </c>
      <c r="C52" s="16">
        <v>0</v>
      </c>
      <c r="D52" s="16">
        <v>0</v>
      </c>
      <c r="E52" s="16">
        <v>1</v>
      </c>
      <c r="F52" s="16">
        <v>1</v>
      </c>
      <c r="G52" s="2">
        <v>1</v>
      </c>
      <c r="H52" s="2">
        <v>1</v>
      </c>
      <c r="I52" s="2">
        <v>3</v>
      </c>
      <c r="J52" s="2">
        <v>5</v>
      </c>
      <c r="K52" s="16">
        <v>0</v>
      </c>
      <c r="L52" s="16">
        <v>0</v>
      </c>
      <c r="M52" s="16">
        <v>0</v>
      </c>
      <c r="N52" s="16">
        <v>0</v>
      </c>
      <c r="O52" s="7">
        <f t="shared" si="24"/>
        <v>1</v>
      </c>
      <c r="P52" s="7">
        <f t="shared" si="24"/>
        <v>1</v>
      </c>
      <c r="Q52" s="7">
        <f t="shared" si="24"/>
        <v>4</v>
      </c>
      <c r="R52" s="7">
        <f t="shared" si="24"/>
        <v>6</v>
      </c>
    </row>
    <row r="53" spans="1:18" x14ac:dyDescent="0.2">
      <c r="B53" s="16" t="s">
        <v>50</v>
      </c>
      <c r="C53" s="16">
        <v>1</v>
      </c>
      <c r="D53" s="16">
        <v>4</v>
      </c>
      <c r="E53" s="16">
        <v>5</v>
      </c>
      <c r="F53" s="16">
        <v>5</v>
      </c>
      <c r="G53" s="2">
        <v>1</v>
      </c>
      <c r="H53" s="2">
        <v>5</v>
      </c>
      <c r="I53" s="2">
        <v>9</v>
      </c>
      <c r="J53" s="2">
        <v>11</v>
      </c>
      <c r="K53" s="16">
        <v>0</v>
      </c>
      <c r="L53" s="16">
        <v>0</v>
      </c>
      <c r="M53" s="16">
        <v>0</v>
      </c>
      <c r="N53" s="16">
        <v>0</v>
      </c>
      <c r="O53" s="7">
        <f t="shared" si="24"/>
        <v>2</v>
      </c>
      <c r="P53" s="7">
        <f t="shared" si="24"/>
        <v>9</v>
      </c>
      <c r="Q53" s="7">
        <f t="shared" si="24"/>
        <v>14</v>
      </c>
      <c r="R53" s="7">
        <f t="shared" si="24"/>
        <v>16</v>
      </c>
    </row>
    <row r="54" spans="1:18" x14ac:dyDescent="0.2">
      <c r="B54" s="16" t="s">
        <v>51</v>
      </c>
      <c r="C54" s="2">
        <v>0</v>
      </c>
      <c r="D54" s="16">
        <v>2</v>
      </c>
      <c r="E54" s="16">
        <v>4</v>
      </c>
      <c r="F54" s="2">
        <v>6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16">
        <v>0</v>
      </c>
      <c r="M54" s="16">
        <v>0</v>
      </c>
      <c r="N54" s="2">
        <v>0</v>
      </c>
      <c r="O54" s="7">
        <f t="shared" si="24"/>
        <v>0</v>
      </c>
      <c r="P54" s="7">
        <f t="shared" si="24"/>
        <v>2</v>
      </c>
      <c r="Q54" s="7">
        <f t="shared" si="24"/>
        <v>4</v>
      </c>
      <c r="R54" s="7">
        <f t="shared" si="24"/>
        <v>6</v>
      </c>
    </row>
    <row r="55" spans="1:18" x14ac:dyDescent="0.2">
      <c r="B55" s="22" t="s">
        <v>18</v>
      </c>
      <c r="C55" s="22">
        <f>SUM(C39:C54)</f>
        <v>86357</v>
      </c>
      <c r="D55" s="22">
        <f t="shared" ref="D55:R55" si="25">SUM(D39:D54)</f>
        <v>83881</v>
      </c>
      <c r="E55" s="22">
        <f t="shared" si="25"/>
        <v>84794</v>
      </c>
      <c r="F55" s="22">
        <f t="shared" si="25"/>
        <v>84067</v>
      </c>
      <c r="G55" s="22">
        <f t="shared" si="25"/>
        <v>683541</v>
      </c>
      <c r="H55" s="22">
        <f t="shared" si="25"/>
        <v>658508</v>
      </c>
      <c r="I55" s="22">
        <f t="shared" si="25"/>
        <v>664243</v>
      </c>
      <c r="J55" s="22">
        <f t="shared" si="25"/>
        <v>664177</v>
      </c>
      <c r="K55" s="22">
        <f t="shared" si="25"/>
        <v>4779</v>
      </c>
      <c r="L55" s="22">
        <f t="shared" si="25"/>
        <v>4657</v>
      </c>
      <c r="M55" s="22">
        <f t="shared" si="25"/>
        <v>4683</v>
      </c>
      <c r="N55" s="22">
        <f t="shared" si="25"/>
        <v>4696</v>
      </c>
      <c r="O55" s="22">
        <f t="shared" si="25"/>
        <v>774677</v>
      </c>
      <c r="P55" s="22">
        <f t="shared" si="25"/>
        <v>747046</v>
      </c>
      <c r="Q55" s="22">
        <f t="shared" si="25"/>
        <v>753720</v>
      </c>
      <c r="R55" s="22">
        <f t="shared" si="25"/>
        <v>752940</v>
      </c>
    </row>
    <row r="56" spans="1:18" ht="21" customHeight="1" x14ac:dyDescent="0.2">
      <c r="A56" s="35">
        <v>4</v>
      </c>
    </row>
    <row r="57" spans="1:18" ht="17.25" customHeight="1" x14ac:dyDescent="0.2"/>
  </sheetData>
  <mergeCells count="8">
    <mergeCell ref="V34:AC34"/>
    <mergeCell ref="V35:AC35"/>
    <mergeCell ref="C1:S1"/>
    <mergeCell ref="B37:B38"/>
    <mergeCell ref="C37:F37"/>
    <mergeCell ref="G37:J37"/>
    <mergeCell ref="K37:N37"/>
    <mergeCell ref="O37:R37"/>
  </mergeCells>
  <phoneticPr fontId="2" type="noConversion"/>
  <pageMargins left="0.19685039370078741" right="0" top="0.59055118110236227" bottom="0" header="0" footer="0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2021</vt:lpstr>
      <vt:lpstr>2020</vt:lpstr>
      <vt:lpstr>2019</vt:lpstr>
      <vt:lpstr>2018</vt:lpstr>
      <vt:lpstr>2017</vt:lpstr>
      <vt:lpstr>1999_2016</vt:lpstr>
    </vt:vector>
  </TitlesOfParts>
  <Company>CSDD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Edgars</dc:creator>
  <cp:lastModifiedBy>Lubova Petricenko</cp:lastModifiedBy>
  <cp:lastPrinted>2021-07-12T06:13:45Z</cp:lastPrinted>
  <dcterms:created xsi:type="dcterms:W3CDTF">1997-02-05T09:57:08Z</dcterms:created>
  <dcterms:modified xsi:type="dcterms:W3CDTF">2021-07-12T07:09:33Z</dcterms:modified>
</cp:coreProperties>
</file>